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Introduction" sheetId="1" r:id="rId1"/>
    <sheet name="Deal Model" sheetId="2" r:id="rId2"/>
    <sheet name="Sales and Revenues" sheetId="3" r:id="rId3"/>
    <sheet name="Costs" sheetId="4" r:id="rId4"/>
    <sheet name="P&amp;L View" sheetId="5" r:id="rId5"/>
    <sheet name="Cash and Financing" sheetId="6" r:id="rId6"/>
  </sheets>
  <calcPr calcId="125725"/>
</workbook>
</file>

<file path=xl/calcChain.xml><?xml version="1.0" encoding="utf-8"?>
<calcChain xmlns="http://schemas.openxmlformats.org/spreadsheetml/2006/main">
  <c r="A26" i="4"/>
  <c r="A25"/>
  <c r="A24"/>
  <c r="A22"/>
  <c r="A21"/>
  <c r="A20"/>
  <c r="A18"/>
  <c r="A17"/>
  <c r="A16"/>
  <c r="A210" i="3"/>
  <c r="A209"/>
  <c r="A208"/>
  <c r="A206"/>
  <c r="A205"/>
  <c r="A204"/>
  <c r="A202"/>
  <c r="A201"/>
  <c r="A200"/>
  <c r="A198"/>
  <c r="A197"/>
  <c r="A196"/>
  <c r="A194"/>
  <c r="A193"/>
  <c r="A192"/>
  <c r="A186"/>
  <c r="A185"/>
  <c r="A184"/>
  <c r="A182"/>
  <c r="A181"/>
  <c r="A180"/>
  <c r="A178"/>
  <c r="A177"/>
  <c r="A176"/>
  <c r="A174"/>
  <c r="A173"/>
  <c r="A172"/>
  <c r="A170"/>
  <c r="A169"/>
  <c r="A168"/>
  <c r="A162"/>
  <c r="A161"/>
  <c r="A160"/>
  <c r="A158"/>
  <c r="A157"/>
  <c r="A156"/>
  <c r="A154"/>
  <c r="A153"/>
  <c r="A152"/>
  <c r="A150"/>
  <c r="A149"/>
  <c r="A148"/>
  <c r="A146"/>
  <c r="A145"/>
  <c r="A144"/>
  <c r="A138"/>
  <c r="A137"/>
  <c r="A136"/>
  <c r="A134"/>
  <c r="A133"/>
  <c r="A132"/>
  <c r="A130"/>
  <c r="A129"/>
  <c r="A128"/>
  <c r="A126"/>
  <c r="A125"/>
  <c r="A124"/>
  <c r="A122"/>
  <c r="A121"/>
  <c r="A120"/>
  <c r="A114"/>
  <c r="A113"/>
  <c r="A112"/>
  <c r="A110"/>
  <c r="A109"/>
  <c r="A108"/>
  <c r="A106"/>
  <c r="A105"/>
  <c r="A104"/>
  <c r="A102"/>
  <c r="A101"/>
  <c r="A100"/>
  <c r="A98"/>
  <c r="A97"/>
  <c r="A96"/>
  <c r="A86"/>
  <c r="A85"/>
  <c r="A84"/>
  <c r="A82"/>
  <c r="A81"/>
  <c r="A80"/>
  <c r="A78"/>
  <c r="A77"/>
  <c r="A76"/>
  <c r="A74"/>
  <c r="A73"/>
  <c r="A72"/>
  <c r="A70"/>
  <c r="A69"/>
  <c r="A68"/>
  <c r="A59"/>
  <c r="A58"/>
  <c r="A57"/>
  <c r="A55"/>
  <c r="A54"/>
  <c r="A53"/>
  <c r="A51"/>
  <c r="A50"/>
  <c r="A49"/>
  <c r="A47"/>
  <c r="A46"/>
  <c r="A45"/>
  <c r="A43"/>
  <c r="A42"/>
  <c r="A41"/>
  <c r="I32"/>
  <c r="I31"/>
  <c r="I30"/>
  <c r="I28"/>
  <c r="I27"/>
  <c r="I26"/>
  <c r="I24"/>
  <c r="I23"/>
  <c r="I22"/>
  <c r="I20"/>
  <c r="I19"/>
  <c r="I18"/>
  <c r="I16"/>
  <c r="I15"/>
  <c r="I14"/>
  <c r="A32"/>
  <c r="A31"/>
  <c r="A30"/>
  <c r="A28"/>
  <c r="A27"/>
  <c r="A26"/>
  <c r="A24"/>
  <c r="A23"/>
  <c r="A22"/>
  <c r="A20"/>
  <c r="A19"/>
  <c r="A18"/>
  <c r="A16"/>
  <c r="A15"/>
  <c r="A14"/>
  <c r="B27" i="5"/>
  <c r="B26" i="6"/>
  <c r="F27" i="5"/>
  <c r="E27"/>
  <c r="D27"/>
  <c r="C27"/>
  <c r="G20" i="2"/>
  <c r="C20"/>
  <c r="F20"/>
  <c r="E20"/>
  <c r="D20"/>
  <c r="F25" i="6"/>
  <c r="E25"/>
  <c r="D25"/>
  <c r="C25"/>
  <c r="B25"/>
  <c r="B21"/>
  <c r="B10"/>
  <c r="C10" s="1"/>
  <c r="D10" s="1"/>
  <c r="E10" s="1"/>
  <c r="F10" s="1"/>
  <c r="B6"/>
  <c r="B7" i="5"/>
  <c r="F26"/>
  <c r="E26"/>
  <c r="D26"/>
  <c r="C26"/>
  <c r="B26"/>
  <c r="B22"/>
  <c r="B11"/>
  <c r="C11" s="1"/>
  <c r="F74" i="4"/>
  <c r="E74"/>
  <c r="D74"/>
  <c r="C74"/>
  <c r="B74"/>
  <c r="B68"/>
  <c r="C68" s="1"/>
  <c r="D68" s="1"/>
  <c r="E68" s="1"/>
  <c r="F68" s="1"/>
  <c r="F46"/>
  <c r="F20" i="5" s="1"/>
  <c r="E46" i="4"/>
  <c r="D46"/>
  <c r="D19" i="6" s="1"/>
  <c r="C46" i="4"/>
  <c r="B46"/>
  <c r="B20" i="5" s="1"/>
  <c r="B58" i="4"/>
  <c r="F50"/>
  <c r="F21" i="5" s="1"/>
  <c r="E50" i="4"/>
  <c r="E20" i="6" s="1"/>
  <c r="D50" i="4"/>
  <c r="D21" i="5" s="1"/>
  <c r="C50" i="4"/>
  <c r="C21" i="5" s="1"/>
  <c r="B50" i="4"/>
  <c r="B21" i="5" s="1"/>
  <c r="B45" i="4"/>
  <c r="C45" s="1"/>
  <c r="D45" s="1"/>
  <c r="E45" s="1"/>
  <c r="F45" s="1"/>
  <c r="B33"/>
  <c r="C33" s="1"/>
  <c r="D33" s="1"/>
  <c r="E33" s="1"/>
  <c r="F33" s="1"/>
  <c r="B7"/>
  <c r="C20" i="6" l="1"/>
  <c r="F20"/>
  <c r="B20"/>
  <c r="E21" i="5"/>
  <c r="D20" i="6"/>
  <c r="F19"/>
  <c r="E20" i="5"/>
  <c r="E19" i="6"/>
  <c r="D20" i="5"/>
  <c r="B19" i="6"/>
  <c r="B62" i="4"/>
  <c r="C20" i="5"/>
  <c r="C19" i="6"/>
  <c r="D11" i="5"/>
  <c r="E11" l="1"/>
  <c r="F11" l="1"/>
  <c r="B14" i="4" l="1"/>
  <c r="C14" s="1"/>
  <c r="D14" s="1"/>
  <c r="E14" s="1"/>
  <c r="F14" s="1"/>
  <c r="D85" i="2"/>
  <c r="B84"/>
  <c r="G85"/>
  <c r="F85"/>
  <c r="E85"/>
  <c r="C85"/>
  <c r="B82"/>
  <c r="B81"/>
  <c r="E72"/>
  <c r="D72"/>
  <c r="B71"/>
  <c r="G72"/>
  <c r="F72"/>
  <c r="C72"/>
  <c r="B69"/>
  <c r="B68"/>
  <c r="F153" i="3"/>
  <c r="E149"/>
  <c r="B183"/>
  <c r="C183"/>
  <c r="E207"/>
  <c r="D207"/>
  <c r="E203"/>
  <c r="D203"/>
  <c r="E199"/>
  <c r="D199"/>
  <c r="E195"/>
  <c r="D195"/>
  <c r="E191"/>
  <c r="D191"/>
  <c r="B191"/>
  <c r="C190"/>
  <c r="D190" s="1"/>
  <c r="E190" s="1"/>
  <c r="F190" s="1"/>
  <c r="B190"/>
  <c r="D183"/>
  <c r="D179"/>
  <c r="D175"/>
  <c r="C175"/>
  <c r="D171"/>
  <c r="D167"/>
  <c r="B167"/>
  <c r="B166"/>
  <c r="C166" s="1"/>
  <c r="D166" s="1"/>
  <c r="E166" s="1"/>
  <c r="F166" s="1"/>
  <c r="C159"/>
  <c r="C155"/>
  <c r="C151"/>
  <c r="C147"/>
  <c r="C143"/>
  <c r="B143"/>
  <c r="B142"/>
  <c r="C142" s="1"/>
  <c r="D142" s="1"/>
  <c r="E142" s="1"/>
  <c r="F142" s="1"/>
  <c r="B135"/>
  <c r="B131"/>
  <c r="B127"/>
  <c r="B123"/>
  <c r="B119"/>
  <c r="B118"/>
  <c r="C118" s="1"/>
  <c r="D118" s="1"/>
  <c r="E118" s="1"/>
  <c r="F118" s="1"/>
  <c r="B94"/>
  <c r="C94" s="1"/>
  <c r="D94" s="1"/>
  <c r="E94" s="1"/>
  <c r="F94" s="1"/>
  <c r="B66"/>
  <c r="C66" s="1"/>
  <c r="D66" s="1"/>
  <c r="E66" s="1"/>
  <c r="F66" s="1"/>
  <c r="L29"/>
  <c r="K29"/>
  <c r="J29"/>
  <c r="K25"/>
  <c r="J25"/>
  <c r="J21"/>
  <c r="J13"/>
  <c r="F29"/>
  <c r="E29"/>
  <c r="D29"/>
  <c r="C29"/>
  <c r="B29"/>
  <c r="F25"/>
  <c r="E25"/>
  <c r="D25"/>
  <c r="C25"/>
  <c r="B25"/>
  <c r="F21"/>
  <c r="E21"/>
  <c r="D21"/>
  <c r="C21"/>
  <c r="B21"/>
  <c r="F17"/>
  <c r="E17"/>
  <c r="D17"/>
  <c r="C17"/>
  <c r="B17"/>
  <c r="G120" i="2"/>
  <c r="F120"/>
  <c r="E120"/>
  <c r="D120"/>
  <c r="C120"/>
  <c r="B120" s="1"/>
  <c r="B119"/>
  <c r="B118"/>
  <c r="B117"/>
  <c r="B116"/>
  <c r="H120" s="1"/>
  <c r="G109"/>
  <c r="F109"/>
  <c r="E109"/>
  <c r="D109"/>
  <c r="C109"/>
  <c r="B108"/>
  <c r="B107"/>
  <c r="B106"/>
  <c r="B105"/>
  <c r="G45"/>
  <c r="F102" i="3" s="1"/>
  <c r="F45" i="2"/>
  <c r="E110" i="3" s="1"/>
  <c r="E45" i="2"/>
  <c r="F154" i="3" s="1"/>
  <c r="D45" i="2"/>
  <c r="F186" i="3" s="1"/>
  <c r="C45" i="2"/>
  <c r="F210" i="3" s="1"/>
  <c r="B44" i="2"/>
  <c r="B43"/>
  <c r="B42"/>
  <c r="B41"/>
  <c r="B40"/>
  <c r="G33"/>
  <c r="F109" i="3" s="1"/>
  <c r="F33" i="2"/>
  <c r="E97" i="3" s="1"/>
  <c r="E33" i="2"/>
  <c r="F157" i="3" s="1"/>
  <c r="D33" i="2"/>
  <c r="F185" i="3" s="1"/>
  <c r="C33" i="2"/>
  <c r="F205" i="3" s="1"/>
  <c r="B32" i="2"/>
  <c r="B31"/>
  <c r="B30"/>
  <c r="B29"/>
  <c r="B28"/>
  <c r="B39" i="3"/>
  <c r="C39" s="1"/>
  <c r="D39" s="1"/>
  <c r="E39" s="1"/>
  <c r="F39" s="1"/>
  <c r="J32"/>
  <c r="K32" s="1"/>
  <c r="L32" s="1"/>
  <c r="M32" s="1"/>
  <c r="N32" s="1"/>
  <c r="J31"/>
  <c r="K31" s="1"/>
  <c r="L31" s="1"/>
  <c r="M31" s="1"/>
  <c r="N31" s="1"/>
  <c r="J30"/>
  <c r="K30" s="1"/>
  <c r="L30" s="1"/>
  <c r="M30" s="1"/>
  <c r="N30" s="1"/>
  <c r="N29" s="1"/>
  <c r="J28"/>
  <c r="K28" s="1"/>
  <c r="L28" s="1"/>
  <c r="M28" s="1"/>
  <c r="N28" s="1"/>
  <c r="J27"/>
  <c r="K27" s="1"/>
  <c r="L27" s="1"/>
  <c r="M27" s="1"/>
  <c r="N27" s="1"/>
  <c r="K26"/>
  <c r="L26" s="1"/>
  <c r="M26" s="1"/>
  <c r="J26"/>
  <c r="J24"/>
  <c r="K24" s="1"/>
  <c r="L24" s="1"/>
  <c r="M24" s="1"/>
  <c r="N24" s="1"/>
  <c r="J23"/>
  <c r="K23" s="1"/>
  <c r="L23" s="1"/>
  <c r="M23" s="1"/>
  <c r="N23" s="1"/>
  <c r="K22"/>
  <c r="L22" s="1"/>
  <c r="L21" s="1"/>
  <c r="J22"/>
  <c r="K20"/>
  <c r="L20" s="1"/>
  <c r="J20"/>
  <c r="J19"/>
  <c r="K19" s="1"/>
  <c r="L19" s="1"/>
  <c r="M19" s="1"/>
  <c r="J18"/>
  <c r="K18" s="1"/>
  <c r="L18" s="1"/>
  <c r="M18" s="1"/>
  <c r="N18" s="1"/>
  <c r="N16"/>
  <c r="M16"/>
  <c r="L16"/>
  <c r="K16"/>
  <c r="K15"/>
  <c r="L15" s="1"/>
  <c r="M15" s="1"/>
  <c r="N15" s="1"/>
  <c r="K14"/>
  <c r="L14" s="1"/>
  <c r="J16"/>
  <c r="J15"/>
  <c r="J14"/>
  <c r="J12"/>
  <c r="K12" s="1"/>
  <c r="L12" s="1"/>
  <c r="M12" s="1"/>
  <c r="N12" s="1"/>
  <c r="F13"/>
  <c r="E13"/>
  <c r="B12"/>
  <c r="C12" s="1"/>
  <c r="D12" s="1"/>
  <c r="E12" s="1"/>
  <c r="F12" s="1"/>
  <c r="D13"/>
  <c r="C13"/>
  <c r="B13"/>
  <c r="B7"/>
  <c r="B8" i="2"/>
  <c r="N95"/>
  <c r="N98" s="1"/>
  <c r="P98"/>
  <c r="O98"/>
  <c r="M95"/>
  <c r="M98" s="1"/>
  <c r="L95"/>
  <c r="G98"/>
  <c r="F98"/>
  <c r="E98"/>
  <c r="D98"/>
  <c r="C98"/>
  <c r="K97"/>
  <c r="B97"/>
  <c r="K96"/>
  <c r="B96"/>
  <c r="B95"/>
  <c r="K94"/>
  <c r="B94"/>
  <c r="G59"/>
  <c r="F59"/>
  <c r="E59"/>
  <c r="C59"/>
  <c r="P57"/>
  <c r="P59" s="1"/>
  <c r="O57"/>
  <c r="O59" s="1"/>
  <c r="N57"/>
  <c r="M57"/>
  <c r="M59" s="1"/>
  <c r="L57"/>
  <c r="K56"/>
  <c r="N59"/>
  <c r="K58"/>
  <c r="K55"/>
  <c r="D59"/>
  <c r="B58"/>
  <c r="B56"/>
  <c r="B55"/>
  <c r="G21"/>
  <c r="F112" i="3" s="1"/>
  <c r="F21" i="2"/>
  <c r="F128" i="3" s="1"/>
  <c r="E21" i="2"/>
  <c r="E128" i="3" s="1"/>
  <c r="D21" i="2"/>
  <c r="F180" i="3" s="1"/>
  <c r="C21" i="2"/>
  <c r="F208" i="3" s="1"/>
  <c r="B20" i="2"/>
  <c r="B19"/>
  <c r="B18"/>
  <c r="B17"/>
  <c r="B16"/>
  <c r="F161" i="3" l="1"/>
  <c r="B109" i="2"/>
  <c r="H109" s="1"/>
  <c r="D97" i="3"/>
  <c r="M29"/>
  <c r="M25"/>
  <c r="K21"/>
  <c r="M14"/>
  <c r="M13" s="1"/>
  <c r="L13"/>
  <c r="K13"/>
  <c r="C125"/>
  <c r="B113"/>
  <c r="B85" s="1"/>
  <c r="B101"/>
  <c r="B73" s="1"/>
  <c r="D153"/>
  <c r="F209"/>
  <c r="E173"/>
  <c r="F105"/>
  <c r="F149"/>
  <c r="D137"/>
  <c r="E153"/>
  <c r="C101"/>
  <c r="D125"/>
  <c r="F158"/>
  <c r="D98"/>
  <c r="C106"/>
  <c r="C98"/>
  <c r="E158"/>
  <c r="C114"/>
  <c r="F146"/>
  <c r="D110"/>
  <c r="E134"/>
  <c r="F130"/>
  <c r="E126"/>
  <c r="D126"/>
  <c r="E150"/>
  <c r="E154"/>
  <c r="E101"/>
  <c r="E109"/>
  <c r="D121"/>
  <c r="E133"/>
  <c r="F137"/>
  <c r="F125"/>
  <c r="F129"/>
  <c r="D105"/>
  <c r="F133"/>
  <c r="F181"/>
  <c r="E185"/>
  <c r="B105"/>
  <c r="B77" s="1"/>
  <c r="C133"/>
  <c r="F201"/>
  <c r="E132"/>
  <c r="E131" s="1"/>
  <c r="D112"/>
  <c r="C108"/>
  <c r="B100"/>
  <c r="B72" s="1"/>
  <c r="B108"/>
  <c r="B80" s="1"/>
  <c r="C124"/>
  <c r="C132"/>
  <c r="C80" s="1"/>
  <c r="D144"/>
  <c r="F200"/>
  <c r="E176"/>
  <c r="F196"/>
  <c r="D148"/>
  <c r="D156"/>
  <c r="E172"/>
  <c r="D120"/>
  <c r="E152"/>
  <c r="D146"/>
  <c r="E178"/>
  <c r="E186"/>
  <c r="C126"/>
  <c r="C130"/>
  <c r="D154"/>
  <c r="E170"/>
  <c r="F198"/>
  <c r="F206"/>
  <c r="B110"/>
  <c r="B82" s="1"/>
  <c r="B114"/>
  <c r="B86" s="1"/>
  <c r="C134"/>
  <c r="C138"/>
  <c r="D158"/>
  <c r="D162"/>
  <c r="E174"/>
  <c r="E182"/>
  <c r="F202"/>
  <c r="C122"/>
  <c r="B98"/>
  <c r="B70" s="1"/>
  <c r="B102"/>
  <c r="B74" s="1"/>
  <c r="B106"/>
  <c r="B78" s="1"/>
  <c r="D150"/>
  <c r="F194"/>
  <c r="C121"/>
  <c r="E177"/>
  <c r="C137"/>
  <c r="E169"/>
  <c r="E181"/>
  <c r="F197"/>
  <c r="B109"/>
  <c r="B81" s="1"/>
  <c r="B97"/>
  <c r="B69" s="1"/>
  <c r="C129"/>
  <c r="D145"/>
  <c r="D149"/>
  <c r="D157"/>
  <c r="D161"/>
  <c r="F193"/>
  <c r="B96"/>
  <c r="C120"/>
  <c r="C128"/>
  <c r="C136"/>
  <c r="E180"/>
  <c r="E184"/>
  <c r="F204"/>
  <c r="B104"/>
  <c r="B76" s="1"/>
  <c r="B112"/>
  <c r="B84" s="1"/>
  <c r="D152"/>
  <c r="D160"/>
  <c r="E168"/>
  <c r="F192"/>
  <c r="B85" i="2"/>
  <c r="B83"/>
  <c r="B72"/>
  <c r="B70"/>
  <c r="H72" s="1"/>
  <c r="N19" i="3"/>
  <c r="J17"/>
  <c r="J33" s="1"/>
  <c r="D138"/>
  <c r="E146"/>
  <c r="E162"/>
  <c r="F170"/>
  <c r="F174"/>
  <c r="F178"/>
  <c r="C102"/>
  <c r="C74" s="1"/>
  <c r="C110"/>
  <c r="D122"/>
  <c r="D130"/>
  <c r="D134"/>
  <c r="F182"/>
  <c r="D106"/>
  <c r="E122"/>
  <c r="F162"/>
  <c r="D102"/>
  <c r="D114"/>
  <c r="E130"/>
  <c r="E138"/>
  <c r="F150"/>
  <c r="E114"/>
  <c r="F122"/>
  <c r="F126"/>
  <c r="F134"/>
  <c r="F138"/>
  <c r="E98"/>
  <c r="E102"/>
  <c r="E106"/>
  <c r="B45" i="2"/>
  <c r="F110" i="3"/>
  <c r="F114"/>
  <c r="F106"/>
  <c r="F98"/>
  <c r="F101"/>
  <c r="F113"/>
  <c r="F97"/>
  <c r="E105"/>
  <c r="E113"/>
  <c r="F121"/>
  <c r="D109"/>
  <c r="E121"/>
  <c r="E125"/>
  <c r="E129"/>
  <c r="E137"/>
  <c r="D101"/>
  <c r="D113"/>
  <c r="F145"/>
  <c r="C109"/>
  <c r="D133"/>
  <c r="F177"/>
  <c r="B33" i="2"/>
  <c r="C97" i="3"/>
  <c r="E145"/>
  <c r="E161"/>
  <c r="F169"/>
  <c r="F173"/>
  <c r="C105"/>
  <c r="C113"/>
  <c r="E157"/>
  <c r="D129"/>
  <c r="F108"/>
  <c r="F104"/>
  <c r="F100"/>
  <c r="F96"/>
  <c r="F132"/>
  <c r="E96"/>
  <c r="E104"/>
  <c r="E112"/>
  <c r="F124"/>
  <c r="E100"/>
  <c r="F136"/>
  <c r="F120"/>
  <c r="E108"/>
  <c r="D104"/>
  <c r="E136"/>
  <c r="F152"/>
  <c r="F156"/>
  <c r="F160"/>
  <c r="D108"/>
  <c r="E124"/>
  <c r="F144"/>
  <c r="F148"/>
  <c r="D96"/>
  <c r="D100"/>
  <c r="E120"/>
  <c r="C112"/>
  <c r="E148"/>
  <c r="F168"/>
  <c r="F176"/>
  <c r="F184"/>
  <c r="C100"/>
  <c r="D124"/>
  <c r="D128"/>
  <c r="D132"/>
  <c r="D136"/>
  <c r="E144"/>
  <c r="E160"/>
  <c r="C96"/>
  <c r="C104"/>
  <c r="E156"/>
  <c r="F172"/>
  <c r="C179"/>
  <c r="C203" s="1"/>
  <c r="C171"/>
  <c r="C195" s="1"/>
  <c r="C167"/>
  <c r="C191" s="1"/>
  <c r="C199"/>
  <c r="B159"/>
  <c r="B155"/>
  <c r="B139"/>
  <c r="B147"/>
  <c r="B151"/>
  <c r="B171"/>
  <c r="B195" s="1"/>
  <c r="E211"/>
  <c r="D211"/>
  <c r="D187"/>
  <c r="C163"/>
  <c r="L25"/>
  <c r="L17"/>
  <c r="K17"/>
  <c r="N26"/>
  <c r="N25" s="1"/>
  <c r="M22"/>
  <c r="M21" s="1"/>
  <c r="M20"/>
  <c r="M17" s="1"/>
  <c r="D33"/>
  <c r="E33"/>
  <c r="F33"/>
  <c r="C33"/>
  <c r="B33"/>
  <c r="K95" i="2"/>
  <c r="Q98" s="1"/>
  <c r="L98"/>
  <c r="K98" s="1"/>
  <c r="B98"/>
  <c r="H98" s="1"/>
  <c r="B57"/>
  <c r="H59" s="1"/>
  <c r="K57"/>
  <c r="Q59" s="1"/>
  <c r="L59"/>
  <c r="K59" s="1"/>
  <c r="B59"/>
  <c r="B21"/>
  <c r="H21" s="1"/>
  <c r="H85" l="1"/>
  <c r="C77" i="3"/>
  <c r="F81"/>
  <c r="C73"/>
  <c r="F99"/>
  <c r="D77"/>
  <c r="C82"/>
  <c r="E82"/>
  <c r="N14"/>
  <c r="N13" s="1"/>
  <c r="F85"/>
  <c r="C69"/>
  <c r="B83"/>
  <c r="C85"/>
  <c r="C127"/>
  <c r="E81"/>
  <c r="E73"/>
  <c r="D85"/>
  <c r="C70"/>
  <c r="C86"/>
  <c r="E74"/>
  <c r="F77"/>
  <c r="E107"/>
  <c r="D69"/>
  <c r="D86"/>
  <c r="D74"/>
  <c r="C78"/>
  <c r="B95"/>
  <c r="C131"/>
  <c r="D70"/>
  <c r="B71"/>
  <c r="C81"/>
  <c r="C79" s="1"/>
  <c r="D73"/>
  <c r="F80"/>
  <c r="C84"/>
  <c r="E76"/>
  <c r="D68"/>
  <c r="B99"/>
  <c r="B79"/>
  <c r="B107"/>
  <c r="C76"/>
  <c r="D84"/>
  <c r="E59"/>
  <c r="H45" i="2"/>
  <c r="B18" i="4"/>
  <c r="B103" i="3"/>
  <c r="D82"/>
  <c r="B75"/>
  <c r="C46"/>
  <c r="H33" i="2"/>
  <c r="C54" i="3"/>
  <c r="B50"/>
  <c r="C68"/>
  <c r="F103"/>
  <c r="E77"/>
  <c r="D78"/>
  <c r="F73"/>
  <c r="D72"/>
  <c r="E103"/>
  <c r="F78"/>
  <c r="D103"/>
  <c r="C107"/>
  <c r="F74"/>
  <c r="B17" i="4"/>
  <c r="F72" i="3"/>
  <c r="E84"/>
  <c r="F76"/>
  <c r="F82"/>
  <c r="D127"/>
  <c r="D151" s="1"/>
  <c r="F70"/>
  <c r="D80"/>
  <c r="F84"/>
  <c r="F131"/>
  <c r="D99"/>
  <c r="D51"/>
  <c r="E70"/>
  <c r="E43"/>
  <c r="B51"/>
  <c r="B55"/>
  <c r="E78"/>
  <c r="E86"/>
  <c r="B59"/>
  <c r="C51"/>
  <c r="F86"/>
  <c r="C59"/>
  <c r="C47"/>
  <c r="F47"/>
  <c r="D43"/>
  <c r="F55"/>
  <c r="E51"/>
  <c r="B43"/>
  <c r="B47"/>
  <c r="D59"/>
  <c r="F51"/>
  <c r="D47"/>
  <c r="F59"/>
  <c r="D55"/>
  <c r="C43"/>
  <c r="C55"/>
  <c r="E99"/>
  <c r="E47"/>
  <c r="E55"/>
  <c r="F43"/>
  <c r="F107"/>
  <c r="C42"/>
  <c r="F58"/>
  <c r="E85"/>
  <c r="F50"/>
  <c r="F69"/>
  <c r="D54"/>
  <c r="B42"/>
  <c r="E50"/>
  <c r="B58"/>
  <c r="D46"/>
  <c r="E69"/>
  <c r="D81"/>
  <c r="D107"/>
  <c r="D131"/>
  <c r="E58"/>
  <c r="C58"/>
  <c r="D50"/>
  <c r="B46"/>
  <c r="F46"/>
  <c r="D42"/>
  <c r="F54"/>
  <c r="F42"/>
  <c r="D58"/>
  <c r="B54"/>
  <c r="E46"/>
  <c r="E42"/>
  <c r="E54"/>
  <c r="C50"/>
  <c r="C103"/>
  <c r="E80"/>
  <c r="E68"/>
  <c r="D76"/>
  <c r="E72"/>
  <c r="F68"/>
  <c r="C99"/>
  <c r="C72"/>
  <c r="C71" s="1"/>
  <c r="D155"/>
  <c r="F155"/>
  <c r="E127"/>
  <c r="F127"/>
  <c r="E155"/>
  <c r="E151"/>
  <c r="B68"/>
  <c r="C207"/>
  <c r="C211" s="1"/>
  <c r="C187"/>
  <c r="B207"/>
  <c r="B179"/>
  <c r="B203" s="1"/>
  <c r="B163"/>
  <c r="B175"/>
  <c r="B199" s="1"/>
  <c r="F57"/>
  <c r="B57"/>
  <c r="E53"/>
  <c r="D49"/>
  <c r="C45"/>
  <c r="F41"/>
  <c r="B41"/>
  <c r="C53"/>
  <c r="B49"/>
  <c r="D41"/>
  <c r="D53"/>
  <c r="F45"/>
  <c r="E41"/>
  <c r="C57"/>
  <c r="F53"/>
  <c r="B53"/>
  <c r="E49"/>
  <c r="D45"/>
  <c r="C41"/>
  <c r="D57"/>
  <c r="F49"/>
  <c r="E45"/>
  <c r="E57"/>
  <c r="C49"/>
  <c r="B45"/>
  <c r="K33"/>
  <c r="N22"/>
  <c r="N21" s="1"/>
  <c r="N20"/>
  <c r="N17" s="1"/>
  <c r="M33"/>
  <c r="L33"/>
  <c r="E79" l="1"/>
  <c r="C17" i="4"/>
  <c r="C21" s="1"/>
  <c r="C25" s="1"/>
  <c r="F75" i="3"/>
  <c r="C18" i="4"/>
  <c r="C22" s="1"/>
  <c r="C26" s="1"/>
  <c r="C83" i="3"/>
  <c r="D83"/>
  <c r="E71"/>
  <c r="D18" i="4"/>
  <c r="D22" s="1"/>
  <c r="D26" s="1"/>
  <c r="C75" i="3"/>
  <c r="D17" i="4"/>
  <c r="D21" s="1"/>
  <c r="D25" s="1"/>
  <c r="D71" i="3"/>
  <c r="F79"/>
  <c r="E75"/>
  <c r="B22" i="4"/>
  <c r="B26" s="1"/>
  <c r="F17"/>
  <c r="F21" s="1"/>
  <c r="F25" s="1"/>
  <c r="F52" i="3"/>
  <c r="D75"/>
  <c r="E17" i="4"/>
  <c r="E21" s="1"/>
  <c r="E25" s="1"/>
  <c r="D79" i="3"/>
  <c r="E16" i="4"/>
  <c r="E20" s="1"/>
  <c r="F18"/>
  <c r="F22" s="1"/>
  <c r="F26" s="1"/>
  <c r="D16"/>
  <c r="F83" i="3"/>
  <c r="F71"/>
  <c r="B67"/>
  <c r="B87" s="1"/>
  <c r="B35" i="4" s="1"/>
  <c r="B34" s="1"/>
  <c r="B38" s="1"/>
  <c r="B16"/>
  <c r="B21"/>
  <c r="B25" s="1"/>
  <c r="E18"/>
  <c r="E22" s="1"/>
  <c r="E26" s="1"/>
  <c r="C16"/>
  <c r="B48" i="3"/>
  <c r="C44"/>
  <c r="F16" i="4"/>
  <c r="E83" i="3"/>
  <c r="F48"/>
  <c r="C56"/>
  <c r="D40"/>
  <c r="F56"/>
  <c r="C52"/>
  <c r="C40"/>
  <c r="D52"/>
  <c r="D44"/>
  <c r="E56"/>
  <c r="B40"/>
  <c r="E52"/>
  <c r="D56"/>
  <c r="F44"/>
  <c r="B44"/>
  <c r="E48"/>
  <c r="E40"/>
  <c r="E44"/>
  <c r="F40"/>
  <c r="B56"/>
  <c r="D48"/>
  <c r="C48"/>
  <c r="B52"/>
  <c r="F151"/>
  <c r="E179"/>
  <c r="B211"/>
  <c r="B187"/>
  <c r="N33"/>
  <c r="D123"/>
  <c r="F123"/>
  <c r="C123"/>
  <c r="E123"/>
  <c r="E95"/>
  <c r="F95"/>
  <c r="C95"/>
  <c r="D95"/>
  <c r="B16" i="5" l="1"/>
  <c r="B15" i="6"/>
  <c r="D20" i="4"/>
  <c r="D19" s="1"/>
  <c r="D15"/>
  <c r="E19"/>
  <c r="E15"/>
  <c r="C20"/>
  <c r="C15"/>
  <c r="B20"/>
  <c r="B19" s="1"/>
  <c r="B15"/>
  <c r="E24"/>
  <c r="E23" s="1"/>
  <c r="E27" s="1"/>
  <c r="F20"/>
  <c r="F19" s="1"/>
  <c r="F15"/>
  <c r="B111" i="3"/>
  <c r="B115" s="1"/>
  <c r="B14" i="5"/>
  <c r="B13" i="6"/>
  <c r="C60" i="3"/>
  <c r="D60"/>
  <c r="B60"/>
  <c r="E60"/>
  <c r="F60"/>
  <c r="F179"/>
  <c r="F203" s="1"/>
  <c r="C119"/>
  <c r="C67"/>
  <c r="C87" s="1"/>
  <c r="C135"/>
  <c r="F119"/>
  <c r="E119"/>
  <c r="D147"/>
  <c r="D119"/>
  <c r="C59" i="4" l="1"/>
  <c r="C58" s="1"/>
  <c r="C35"/>
  <c r="C34" s="1"/>
  <c r="C38" s="1"/>
  <c r="D24"/>
  <c r="D23" s="1"/>
  <c r="D27" s="1"/>
  <c r="D14" i="6" s="1"/>
  <c r="F12" i="5"/>
  <c r="F11" i="6"/>
  <c r="C12" i="5"/>
  <c r="C11" i="6"/>
  <c r="C24" i="4"/>
  <c r="C23" s="1"/>
  <c r="C27" s="1"/>
  <c r="C19"/>
  <c r="F24"/>
  <c r="F23" s="1"/>
  <c r="F27" s="1"/>
  <c r="B11" i="6"/>
  <c r="B12" i="5"/>
  <c r="C111" i="3"/>
  <c r="C115" s="1"/>
  <c r="C13" i="6"/>
  <c r="C14" i="5"/>
  <c r="E11" i="6"/>
  <c r="E12" i="5"/>
  <c r="D11" i="6"/>
  <c r="D12" i="5"/>
  <c r="E15"/>
  <c r="E14" i="6"/>
  <c r="B24" i="4"/>
  <c r="B23" s="1"/>
  <c r="B27" s="1"/>
  <c r="C139" i="3"/>
  <c r="D143"/>
  <c r="D67"/>
  <c r="D87" s="1"/>
  <c r="F143"/>
  <c r="E143"/>
  <c r="E175"/>
  <c r="E147"/>
  <c r="F175"/>
  <c r="F147"/>
  <c r="D59" i="4" l="1"/>
  <c r="D58" s="1"/>
  <c r="D35"/>
  <c r="D34" s="1"/>
  <c r="D38" s="1"/>
  <c r="C21" i="6"/>
  <c r="C22" i="5"/>
  <c r="C62" i="4"/>
  <c r="C15" i="6"/>
  <c r="C16" i="5"/>
  <c r="D15"/>
  <c r="B14" i="6"/>
  <c r="B16" s="1"/>
  <c r="B15" i="5"/>
  <c r="B17" s="1"/>
  <c r="C14" i="6"/>
  <c r="C15" i="5"/>
  <c r="F14" i="6"/>
  <c r="F15" i="5"/>
  <c r="D111" i="3"/>
  <c r="D115" s="1"/>
  <c r="D13" i="6"/>
  <c r="D14" i="5"/>
  <c r="E171" i="3"/>
  <c r="E167"/>
  <c r="E67"/>
  <c r="E87" s="1"/>
  <c r="D135"/>
  <c r="F167"/>
  <c r="F191" s="1"/>
  <c r="F171"/>
  <c r="F199"/>
  <c r="D16" i="5" l="1"/>
  <c r="D17" s="1"/>
  <c r="D15" i="6"/>
  <c r="D16" s="1"/>
  <c r="E59" i="4"/>
  <c r="E58" s="1"/>
  <c r="E35"/>
  <c r="E34" s="1"/>
  <c r="E38" s="1"/>
  <c r="D21" i="6"/>
  <c r="D22" i="5"/>
  <c r="D62" i="4"/>
  <c r="C16" i="6"/>
  <c r="C17" s="1"/>
  <c r="C17" i="5"/>
  <c r="C18" s="1"/>
  <c r="E111" i="3"/>
  <c r="E115" s="1"/>
  <c r="E13" i="6"/>
  <c r="E14" i="5"/>
  <c r="B23"/>
  <c r="B18"/>
  <c r="B17" i="6"/>
  <c r="B22"/>
  <c r="E135" i="3"/>
  <c r="D139"/>
  <c r="D159"/>
  <c r="D163" s="1"/>
  <c r="F195"/>
  <c r="F67"/>
  <c r="F87" s="1"/>
  <c r="D17" i="6" l="1"/>
  <c r="D22"/>
  <c r="D28" s="1"/>
  <c r="C23" i="5"/>
  <c r="C29" s="1"/>
  <c r="C30" s="1"/>
  <c r="D18"/>
  <c r="D23"/>
  <c r="D29" s="1"/>
  <c r="D30" s="1"/>
  <c r="F35" i="4"/>
  <c r="F34" s="1"/>
  <c r="F38" s="1"/>
  <c r="F59"/>
  <c r="F58" s="1"/>
  <c r="E21" i="6"/>
  <c r="E22" i="5"/>
  <c r="E62" i="4"/>
  <c r="C22" i="6"/>
  <c r="C23" s="1"/>
  <c r="E16" i="5"/>
  <c r="E17" s="1"/>
  <c r="E18" s="1"/>
  <c r="E15" i="6"/>
  <c r="E16" s="1"/>
  <c r="F111" i="3"/>
  <c r="F14" i="5"/>
  <c r="F13" i="6"/>
  <c r="D23"/>
  <c r="C28"/>
  <c r="B29" i="5"/>
  <c r="B30" s="1"/>
  <c r="B24"/>
  <c r="B28" i="6"/>
  <c r="B29" s="1"/>
  <c r="B23"/>
  <c r="D24" i="5"/>
  <c r="F135" i="3"/>
  <c r="F115"/>
  <c r="E159"/>
  <c r="E139"/>
  <c r="C24" i="5" l="1"/>
  <c r="E22" i="6"/>
  <c r="E28" s="1"/>
  <c r="E17"/>
  <c r="F15"/>
  <c r="F16" i="5"/>
  <c r="F17" s="1"/>
  <c r="F18" s="1"/>
  <c r="E23"/>
  <c r="E24" s="1"/>
  <c r="F16" i="6"/>
  <c r="F21"/>
  <c r="F22" s="1"/>
  <c r="F22" i="5"/>
  <c r="F62" i="4"/>
  <c r="F17" i="6"/>
  <c r="C29"/>
  <c r="D29" s="1"/>
  <c r="E183" i="3"/>
  <c r="E187" s="1"/>
  <c r="E163"/>
  <c r="F159"/>
  <c r="F139"/>
  <c r="F23" i="5" l="1"/>
  <c r="F24" s="1"/>
  <c r="E23" i="6"/>
  <c r="E29" i="5"/>
  <c r="E30" s="1"/>
  <c r="F28" i="6"/>
  <c r="F23"/>
  <c r="E29"/>
  <c r="F183" i="3"/>
  <c r="F163"/>
  <c r="F29" i="5" l="1"/>
  <c r="F30" s="1"/>
  <c r="F29" i="6"/>
  <c r="F207" i="3"/>
  <c r="F211" s="1"/>
  <c r="F187"/>
</calcChain>
</file>

<file path=xl/comments1.xml><?xml version="1.0" encoding="utf-8"?>
<comments xmlns="http://schemas.openxmlformats.org/spreadsheetml/2006/main">
  <authors>
    <author>Author</author>
  </authors>
  <commentList>
    <comment ref="B9" authorId="0">
      <text>
        <r>
          <rPr>
            <sz val="9"/>
            <color indexed="81"/>
            <rFont val="Tahoma"/>
            <charset val="1"/>
          </rPr>
          <t xml:space="preserve">Please fill-up with the IP Solution Name </t>
        </r>
      </text>
    </comment>
    <comment ref="B11" authorId="0">
      <text>
        <r>
          <rPr>
            <sz val="9"/>
            <color indexed="81"/>
            <rFont val="Tahoma"/>
            <charset val="1"/>
          </rPr>
          <t>Please fill-up with the year when you will start to develop the Product &amp; spend money</t>
        </r>
      </text>
    </comment>
  </commentList>
</comments>
</file>

<file path=xl/comments2.xml><?xml version="1.0" encoding="utf-8"?>
<comments xmlns="http://schemas.openxmlformats.org/spreadsheetml/2006/main">
  <authors>
    <author>Author</author>
  </authors>
  <commentList>
    <comment ref="A12" authorId="0">
      <text>
        <r>
          <rPr>
            <sz val="9"/>
            <color indexed="81"/>
            <rFont val="Tahoma"/>
            <family val="2"/>
          </rPr>
          <t>This is purely illustrative and does not reflect any serious Utility market segmentation !</t>
        </r>
      </text>
    </comment>
    <comment ref="H15" authorId="0">
      <text>
        <r>
          <rPr>
            <sz val="9"/>
            <color indexed="81"/>
            <rFont val="Tahoma"/>
            <family val="2"/>
          </rPr>
          <t>This is the Contribution Margin you expect on each component of the offering. License is typically considered 100% CM (related costs are R&amp;D, so below CM) while for other, you may pick typical Capgemini value : 50% for AD kind of work (Initial Set-up), 40% for AM, 20% for IM as a rule of thumb</t>
        </r>
      </text>
    </comment>
    <comment ref="C16" authorId="0">
      <text>
        <r>
          <rPr>
            <sz val="9"/>
            <color indexed="81"/>
            <rFont val="Tahoma"/>
            <family val="2"/>
          </rPr>
          <t>Accelerator's license fully charged in year 1</t>
        </r>
      </text>
    </comment>
    <comment ref="A17" authorId="0">
      <text>
        <r>
          <rPr>
            <sz val="9"/>
            <color indexed="81"/>
            <rFont val="Tahoma"/>
            <charset val="1"/>
          </rPr>
          <t>IP solution configuration + Specific developments + Integration into Client Infmoration System</t>
        </r>
      </text>
    </comment>
    <comment ref="C17" authorId="0">
      <text>
        <r>
          <rPr>
            <sz val="9"/>
            <color indexed="81"/>
            <rFont val="Tahoma"/>
            <family val="2"/>
          </rPr>
          <t>All Set-up &amp; integration services delivered in Year 1</t>
        </r>
      </text>
    </comment>
    <comment ref="C20" authorId="0">
      <text>
        <r>
          <rPr>
            <sz val="9"/>
            <color indexed="81"/>
            <rFont val="Tahoma"/>
            <family val="2"/>
          </rPr>
          <t>Hypothesis of an all-inclusive 15k€ / month run fee (AM and IM), with the service live 10 month after project starts</t>
        </r>
      </text>
    </comment>
    <comment ref="B21" authorId="0">
      <text>
        <r>
          <rPr>
            <sz val="9"/>
            <color indexed="81"/>
            <rFont val="Tahoma"/>
            <family val="2"/>
          </rPr>
          <t>=TCV (Total Contract Value), that we will approximate as Bookings for the Business Plan</t>
        </r>
      </text>
    </comment>
    <comment ref="H21" authorId="0">
      <text>
        <r>
          <rPr>
            <sz val="9"/>
            <color indexed="81"/>
            <rFont val="Tahoma"/>
            <family val="2"/>
          </rPr>
          <t>This is the average CM% for this Deal Model</t>
        </r>
      </text>
    </comment>
    <comment ref="A24" authorId="0">
      <text>
        <r>
          <rPr>
            <sz val="9"/>
            <color indexed="81"/>
            <rFont val="Tahoma"/>
            <family val="2"/>
          </rPr>
          <t>This is purely illustrative and does not reflect any serious Utility market segmentation !</t>
        </r>
      </text>
    </comment>
    <comment ref="H27" authorId="0">
      <text>
        <r>
          <rPr>
            <sz val="9"/>
            <color indexed="81"/>
            <rFont val="Tahoma"/>
            <family val="2"/>
          </rPr>
          <t>This is the Contribution Margin you expect on each component of the offering. License is typically considered 100% CM (related costs are R&amp;D, so below CM) while for other, you may pick typical Capgemini value : 50% for AD kind of work (Initial Set-up), 40% for AM, 20% for IM as a rule of thumb</t>
        </r>
      </text>
    </comment>
    <comment ref="C28" authorId="0">
      <text>
        <r>
          <rPr>
            <sz val="9"/>
            <color indexed="81"/>
            <rFont val="Tahoma"/>
            <family val="2"/>
          </rPr>
          <t>Accelerator's license fully charged in year 1</t>
        </r>
      </text>
    </comment>
    <comment ref="A29" authorId="0">
      <text>
        <r>
          <rPr>
            <sz val="9"/>
            <color indexed="81"/>
            <rFont val="Tahoma"/>
            <charset val="1"/>
          </rPr>
          <t>IP solution configuration + Specific developments + Integration into Client Infmoration System</t>
        </r>
      </text>
    </comment>
    <comment ref="C29" authorId="0">
      <text>
        <r>
          <rPr>
            <sz val="9"/>
            <color indexed="81"/>
            <rFont val="Tahoma"/>
            <family val="2"/>
          </rPr>
          <t>All Set-up &amp; integration services delivered in Year 1</t>
        </r>
      </text>
    </comment>
    <comment ref="D30" authorId="0">
      <text>
        <r>
          <rPr>
            <sz val="9"/>
            <color indexed="81"/>
            <rFont val="Tahoma"/>
            <family val="2"/>
          </rPr>
          <t>Full 1 year build, AM starts on year 2</t>
        </r>
      </text>
    </comment>
    <comment ref="B33" authorId="0">
      <text>
        <r>
          <rPr>
            <sz val="9"/>
            <color indexed="81"/>
            <rFont val="Tahoma"/>
            <family val="2"/>
          </rPr>
          <t>=TCV (Total Contract Value), that we will approximate as Bookings for the Business Plan</t>
        </r>
      </text>
    </comment>
    <comment ref="H33" authorId="0">
      <text>
        <r>
          <rPr>
            <sz val="9"/>
            <color indexed="81"/>
            <rFont val="Tahoma"/>
            <family val="2"/>
          </rPr>
          <t>This is the average CM% for this Deal Model</t>
        </r>
      </text>
    </comment>
    <comment ref="A36" authorId="0">
      <text>
        <r>
          <rPr>
            <sz val="9"/>
            <color indexed="81"/>
            <rFont val="Tahoma"/>
            <family val="2"/>
          </rPr>
          <t>This is purely illustrative and does not reflect any serious Utility market segmentation !</t>
        </r>
      </text>
    </comment>
    <comment ref="H39" authorId="0">
      <text>
        <r>
          <rPr>
            <sz val="9"/>
            <color indexed="81"/>
            <rFont val="Tahoma"/>
            <family val="2"/>
          </rPr>
          <t>This is the Contribution Margin you expect on each component of the offering. License is typically considered 100% CM (related costs are R&amp;D, so below CM) while for other, you may pick typical Capgemini value : 50% for AD kind of work (Initial Set-up), 40% for AM, 20% for IM as a rule of thumb</t>
        </r>
      </text>
    </comment>
    <comment ref="C40" authorId="0">
      <text>
        <r>
          <rPr>
            <sz val="9"/>
            <color indexed="81"/>
            <rFont val="Tahoma"/>
            <family val="2"/>
          </rPr>
          <t>Accelerator's license fully charged in year 1</t>
        </r>
      </text>
    </comment>
    <comment ref="A41" authorId="0">
      <text>
        <r>
          <rPr>
            <sz val="9"/>
            <color indexed="81"/>
            <rFont val="Tahoma"/>
            <charset val="1"/>
          </rPr>
          <t>IP solution configuration + Specific developments + Integration into Client Infmoration System</t>
        </r>
      </text>
    </comment>
    <comment ref="D41" authorId="0">
      <text>
        <r>
          <rPr>
            <sz val="9"/>
            <color indexed="81"/>
            <rFont val="Tahoma"/>
            <family val="2"/>
          </rPr>
          <t>Build last 18 months in total</t>
        </r>
      </text>
    </comment>
    <comment ref="D42" authorId="0">
      <text>
        <r>
          <rPr>
            <sz val="9"/>
            <color indexed="81"/>
            <rFont val="Tahoma"/>
            <family val="2"/>
          </rPr>
          <t>AM starts after 18 moths, so only 6 months in year 2</t>
        </r>
      </text>
    </comment>
    <comment ref="D43" authorId="0">
      <text>
        <r>
          <rPr>
            <sz val="9"/>
            <color indexed="81"/>
            <rFont val="Tahoma"/>
            <family val="2"/>
          </rPr>
          <t>Production environment live beg. of year 2</t>
        </r>
      </text>
    </comment>
    <comment ref="B45" authorId="0">
      <text>
        <r>
          <rPr>
            <sz val="9"/>
            <color indexed="81"/>
            <rFont val="Tahoma"/>
            <family val="2"/>
          </rPr>
          <t>=TCV (Total Contract Value), that we will approximate as Bookings for the Business Plan</t>
        </r>
      </text>
    </comment>
    <comment ref="H45" authorId="0">
      <text>
        <r>
          <rPr>
            <sz val="9"/>
            <color indexed="81"/>
            <rFont val="Tahoma"/>
            <family val="2"/>
          </rPr>
          <t>This is the average CM% for this Deal Model</t>
        </r>
      </text>
    </comment>
    <comment ref="A49" authorId="0">
      <text>
        <r>
          <rPr>
            <sz val="9"/>
            <color indexed="81"/>
            <rFont val="Tahoma"/>
            <family val="2"/>
          </rPr>
          <t>Modify with the segment's actual name</t>
        </r>
      </text>
    </comment>
    <comment ref="H54" authorId="0">
      <text>
        <r>
          <rPr>
            <sz val="9"/>
            <color indexed="81"/>
            <rFont val="Tahoma"/>
            <family val="2"/>
          </rPr>
          <t>This is the Contribution Margin you expect on each component of the offering.
Initial Set-up in the SaaS model is usally quite low CM, since the idea is to earn money on the recurring revenue. Could be in the range of 30%, while recurring revenue CM would be in the range of 70%</t>
        </r>
      </text>
    </comment>
    <comment ref="Q54" authorId="0">
      <text>
        <r>
          <rPr>
            <sz val="9"/>
            <color indexed="81"/>
            <rFont val="Tahoma"/>
            <family val="2"/>
          </rPr>
          <t>This is the Contribution Margin you expect on each component of the offering.
Initial Set-up in the SaaS model is usally quite low CM, since the idea is to earn money on the recurring revenue. Could be in the range of 30%, while recurring revenue CM would be in the range of 70%</t>
        </r>
      </text>
    </comment>
    <comment ref="A55" authorId="0">
      <text>
        <r>
          <rPr>
            <sz val="9"/>
            <color indexed="81"/>
            <rFont val="Tahoma"/>
            <charset val="1"/>
          </rPr>
          <t>IP solution configuration + Specific developments + Integration into Client Infmoration System</t>
        </r>
      </text>
    </comment>
    <comment ref="J55" authorId="0">
      <text>
        <r>
          <rPr>
            <sz val="9"/>
            <color indexed="81"/>
            <rFont val="Tahoma"/>
            <charset val="1"/>
          </rPr>
          <t>IP solution configuration + Specific developments + Integration into Client Infmoration System</t>
        </r>
      </text>
    </comment>
    <comment ref="A56" authorId="0">
      <text>
        <r>
          <rPr>
            <b/>
            <sz val="9"/>
            <color indexed="81"/>
            <rFont val="Tahoma"/>
            <family val="2"/>
          </rPr>
          <t>Author:</t>
        </r>
        <r>
          <rPr>
            <sz val="9"/>
            <color indexed="81"/>
            <rFont val="Tahoma"/>
            <family val="2"/>
          </rPr>
          <t xml:space="preserve">
total number of minutes, calls, seats, etc. during the year (used for pay per use model)</t>
        </r>
      </text>
    </comment>
    <comment ref="L56" authorId="0">
      <text>
        <r>
          <rPr>
            <b/>
            <sz val="9"/>
            <color indexed="81"/>
            <rFont val="Tahoma"/>
            <family val="2"/>
          </rPr>
          <t>Project goes live in Q4 - only one fourth of annual usage of year 2</t>
        </r>
      </text>
    </comment>
    <comment ref="M56" authorId="0">
      <text>
        <r>
          <rPr>
            <sz val="9"/>
            <color indexed="81"/>
            <rFont val="Tahoma"/>
            <family val="2"/>
          </rPr>
          <t>Average annual usage : 80 000 hours</t>
        </r>
      </text>
    </comment>
    <comment ref="N56" authorId="0">
      <text>
        <r>
          <rPr>
            <b/>
            <sz val="9"/>
            <color indexed="81"/>
            <rFont val="Tahoma"/>
            <family val="2"/>
          </rPr>
          <t>Annual usage growing</t>
        </r>
      </text>
    </comment>
    <comment ref="A58" authorId="0">
      <text>
        <r>
          <rPr>
            <sz val="9"/>
            <color indexed="81"/>
            <rFont val="Tahoma"/>
            <family val="2"/>
          </rPr>
          <t>Premium support...</t>
        </r>
      </text>
    </comment>
    <comment ref="B59" authorId="0">
      <text>
        <r>
          <rPr>
            <sz val="9"/>
            <color indexed="81"/>
            <rFont val="Tahoma"/>
            <family val="2"/>
          </rPr>
          <t>=TCV (Total Contract Value), that we will approximate as Bookings for the Business Plan</t>
        </r>
      </text>
    </comment>
    <comment ref="H59" authorId="0">
      <text>
        <r>
          <rPr>
            <sz val="9"/>
            <color indexed="81"/>
            <rFont val="Tahoma"/>
            <family val="2"/>
          </rPr>
          <t>This is the average CM% for this Deal Model</t>
        </r>
      </text>
    </comment>
    <comment ref="K59" authorId="0">
      <text>
        <r>
          <rPr>
            <sz val="9"/>
            <color indexed="81"/>
            <rFont val="Tahoma"/>
            <family val="2"/>
          </rPr>
          <t>=TCV (Total Contract Value), that we will approximate as Bookings for the Business Plan</t>
        </r>
      </text>
    </comment>
    <comment ref="Q59" authorId="0">
      <text>
        <r>
          <rPr>
            <sz val="9"/>
            <color indexed="81"/>
            <rFont val="Tahoma"/>
            <family val="2"/>
          </rPr>
          <t>This is the average CM% for this Deal Model</t>
        </r>
      </text>
    </comment>
    <comment ref="A62" authorId="0">
      <text>
        <r>
          <rPr>
            <sz val="9"/>
            <color indexed="81"/>
            <rFont val="Tahoma"/>
            <family val="2"/>
          </rPr>
          <t>Modify with the segment's actual name</t>
        </r>
      </text>
    </comment>
    <comment ref="H67" authorId="0">
      <text>
        <r>
          <rPr>
            <sz val="9"/>
            <color indexed="81"/>
            <rFont val="Tahoma"/>
            <family val="2"/>
          </rPr>
          <t>This is the Contribution Margin you expect on each component of the offering. License is typically considered 100% CM (related costs are R&amp;D, so below CM) while for other, you may pick typical Capgemini value : 50% for AD kind of work, 40% for AM, 20% for IM as a rule of thumb</t>
        </r>
      </text>
    </comment>
    <comment ref="A68" authorId="0">
      <text>
        <r>
          <rPr>
            <sz val="9"/>
            <color indexed="81"/>
            <rFont val="Tahoma"/>
            <charset val="1"/>
          </rPr>
          <t>IP solution configuration + Specific developments + Integration into Client Infmoration System</t>
        </r>
      </text>
    </comment>
    <comment ref="A71" authorId="0">
      <text>
        <r>
          <rPr>
            <sz val="9"/>
            <color indexed="81"/>
            <rFont val="Tahoma"/>
            <family val="2"/>
          </rPr>
          <t>Premium support...</t>
        </r>
      </text>
    </comment>
    <comment ref="B72" authorId="0">
      <text>
        <r>
          <rPr>
            <sz val="9"/>
            <color indexed="81"/>
            <rFont val="Tahoma"/>
            <family val="2"/>
          </rPr>
          <t>=TCV (Total Contract Value), that we will approximate as Bookings for the Business Plan</t>
        </r>
      </text>
    </comment>
    <comment ref="H72" authorId="0">
      <text>
        <r>
          <rPr>
            <sz val="9"/>
            <color indexed="81"/>
            <rFont val="Tahoma"/>
            <family val="2"/>
          </rPr>
          <t>This is the average CM% for this Deal Model</t>
        </r>
      </text>
    </comment>
    <comment ref="A75" authorId="0">
      <text>
        <r>
          <rPr>
            <sz val="9"/>
            <color indexed="81"/>
            <rFont val="Tahoma"/>
            <family val="2"/>
          </rPr>
          <t>Modify with the segment's actual name</t>
        </r>
      </text>
    </comment>
    <comment ref="H80" authorId="0">
      <text>
        <r>
          <rPr>
            <sz val="9"/>
            <color indexed="81"/>
            <rFont val="Tahoma"/>
            <family val="2"/>
          </rPr>
          <t>This is the Contribution Margin you expect on each component of the offering. License is typically considered 100% CM (related costs are R&amp;D, so below CM) while for other, you may pick typical Capgemini value : 50% for AD kind of work, 40% for AM, 20% for IM as a rule of thumb</t>
        </r>
      </text>
    </comment>
    <comment ref="A81" authorId="0">
      <text>
        <r>
          <rPr>
            <sz val="9"/>
            <color indexed="81"/>
            <rFont val="Tahoma"/>
            <charset val="1"/>
          </rPr>
          <t>IP solution configuration + Specific developments + Integration into Client Infmoration System</t>
        </r>
      </text>
    </comment>
    <comment ref="A84" authorId="0">
      <text>
        <r>
          <rPr>
            <sz val="9"/>
            <color indexed="81"/>
            <rFont val="Tahoma"/>
            <family val="2"/>
          </rPr>
          <t>Premium support...</t>
        </r>
      </text>
    </comment>
    <comment ref="B85" authorId="0">
      <text>
        <r>
          <rPr>
            <sz val="9"/>
            <color indexed="81"/>
            <rFont val="Tahoma"/>
            <family val="2"/>
          </rPr>
          <t>=TCV (Total Contract Value), that we will approximate as Bookings for the Business Plan</t>
        </r>
      </text>
    </comment>
    <comment ref="H85" authorId="0">
      <text>
        <r>
          <rPr>
            <sz val="9"/>
            <color indexed="81"/>
            <rFont val="Tahoma"/>
            <family val="2"/>
          </rPr>
          <t>This is the average CM% for this Deal Model</t>
        </r>
      </text>
    </comment>
    <comment ref="A90" authorId="0">
      <text>
        <r>
          <rPr>
            <sz val="9"/>
            <color indexed="81"/>
            <rFont val="Tahoma"/>
            <family val="2"/>
          </rPr>
          <t>Modify with the segment's actual name</t>
        </r>
      </text>
    </comment>
    <comment ref="H93" authorId="0">
      <text>
        <r>
          <rPr>
            <sz val="9"/>
            <color indexed="81"/>
            <rFont val="Tahoma"/>
            <family val="2"/>
          </rPr>
          <t>This is the Contribution Margin you expect on each component of the offering.
License is typically considered 100% CM (related costs are R&amp;D, so below CM)
Product Maintenance is usually a very profitable activity.
For other, you may pick typical Capgemini value : 50% for AD kind of work (set-up, integration...), 40% for AM, 20% for IM as a rule of thumb</t>
        </r>
      </text>
    </comment>
    <comment ref="Q93" authorId="0">
      <text>
        <r>
          <rPr>
            <sz val="9"/>
            <color indexed="81"/>
            <rFont val="Tahoma"/>
            <family val="2"/>
          </rPr>
          <t>This is the Contribution Margin you expect on each component of the offering. License is typically considered 100% CM (related costs are R&amp;D, so below CM) while for other, you may pick typical Capgemini value : 50% for AD kind of work, 40% for AM, 20% for IM as a rule of thumb</t>
        </r>
      </text>
    </comment>
    <comment ref="L94" authorId="0">
      <text>
        <r>
          <rPr>
            <sz val="9"/>
            <color indexed="81"/>
            <rFont val="Tahoma"/>
            <family val="2"/>
          </rPr>
          <t>Accelerator's license fully charged in year 1</t>
        </r>
      </text>
    </comment>
    <comment ref="A95" authorId="0">
      <text>
        <r>
          <rPr>
            <sz val="9"/>
            <color indexed="81"/>
            <rFont val="Tahoma"/>
            <family val="2"/>
          </rPr>
          <t xml:space="preserve">Expert Support Level 3 and correction of problems related to the Product
</t>
        </r>
      </text>
    </comment>
    <comment ref="J95" authorId="0">
      <text>
        <r>
          <rPr>
            <sz val="9"/>
            <color indexed="81"/>
            <rFont val="Tahoma"/>
            <family val="2"/>
          </rPr>
          <t xml:space="preserve">Expert Support Level 3 and correction of problems related to the Product
</t>
        </r>
      </text>
    </comment>
    <comment ref="L95" authorId="0">
      <text>
        <r>
          <rPr>
            <sz val="9"/>
            <color indexed="81"/>
            <rFont val="Tahoma"/>
            <family val="2"/>
          </rPr>
          <t>Yearly Product Maintenance = 15% of Product License, charged from Year 1 on</t>
        </r>
      </text>
    </comment>
    <comment ref="A96" authorId="0">
      <text>
        <r>
          <rPr>
            <sz val="9"/>
            <color indexed="81"/>
            <rFont val="Tahoma"/>
            <charset val="1"/>
          </rPr>
          <t>IP solution configuration + Specific developments + Integration into Client Infmoration System</t>
        </r>
      </text>
    </comment>
    <comment ref="J96" authorId="0">
      <text>
        <r>
          <rPr>
            <sz val="9"/>
            <color indexed="81"/>
            <rFont val="Tahoma"/>
            <charset val="1"/>
          </rPr>
          <t>IP solution configuration + Specific developments + Integration into Client Infmoration System</t>
        </r>
      </text>
    </comment>
    <comment ref="L96" authorId="0">
      <text>
        <r>
          <rPr>
            <sz val="9"/>
            <color indexed="81"/>
            <rFont val="Tahoma"/>
            <family val="2"/>
          </rPr>
          <t>AM Starts 9 months after project start so only 1/4 of a full year</t>
        </r>
      </text>
    </comment>
    <comment ref="A97" authorId="0">
      <text>
        <r>
          <rPr>
            <sz val="9"/>
            <color indexed="81"/>
            <rFont val="Tahoma"/>
            <family val="2"/>
          </rPr>
          <t>Maintenance &amp; Support of Application in the Client environment : Level 2 support, issue analysis, correction of issues not related to Product</t>
        </r>
      </text>
    </comment>
    <comment ref="J97" authorId="0">
      <text>
        <r>
          <rPr>
            <sz val="9"/>
            <color indexed="81"/>
            <rFont val="Tahoma"/>
            <family val="2"/>
          </rPr>
          <t>Maintenance &amp; Support of Application in the Client environment : Level 2 support, issue analysis, correction of issues not related to Product</t>
        </r>
      </text>
    </comment>
    <comment ref="L97" authorId="0">
      <text>
        <r>
          <rPr>
            <sz val="9"/>
            <color indexed="81"/>
            <rFont val="Tahoma"/>
            <family val="2"/>
          </rPr>
          <t xml:space="preserve">AM only starts from Year 2 on - and is on top of Product Maintenance </t>
        </r>
      </text>
    </comment>
    <comment ref="B98" authorId="0">
      <text>
        <r>
          <rPr>
            <sz val="9"/>
            <color indexed="81"/>
            <rFont val="Tahoma"/>
            <family val="2"/>
          </rPr>
          <t>=TCV (Total Contract Value), that we will approximate as Bookings for the Business Plan</t>
        </r>
      </text>
    </comment>
    <comment ref="H98" authorId="0">
      <text>
        <r>
          <rPr>
            <sz val="9"/>
            <color indexed="81"/>
            <rFont val="Tahoma"/>
            <family val="2"/>
          </rPr>
          <t>This is the average CM% for this Deal Model</t>
        </r>
      </text>
    </comment>
    <comment ref="K98" authorId="0">
      <text>
        <r>
          <rPr>
            <sz val="9"/>
            <color indexed="81"/>
            <rFont val="Tahoma"/>
            <family val="2"/>
          </rPr>
          <t>=TCV (Total Contract Value), that we will approximate as Bookings for the Business Plan</t>
        </r>
      </text>
    </comment>
    <comment ref="Q98" authorId="0">
      <text>
        <r>
          <rPr>
            <sz val="9"/>
            <color indexed="81"/>
            <rFont val="Tahoma"/>
            <family val="2"/>
          </rPr>
          <t>This is the average CM% for this Deal Model</t>
        </r>
      </text>
    </comment>
    <comment ref="A101" authorId="0">
      <text>
        <r>
          <rPr>
            <sz val="9"/>
            <color indexed="81"/>
            <rFont val="Tahoma"/>
            <family val="2"/>
          </rPr>
          <t>Modify with the segment's actual name</t>
        </r>
      </text>
    </comment>
    <comment ref="H104" authorId="0">
      <text>
        <r>
          <rPr>
            <sz val="9"/>
            <color indexed="81"/>
            <rFont val="Tahoma"/>
            <family val="2"/>
          </rPr>
          <t>This is the Contribution Margin you expect on each component of the offering.
License is typically considered 100% CM (related costs are R&amp;D, so below CM)
Product Maintenance is usually a very profitable activity.
For other, you may pick typical Capgemini value : 50% for AD kind of work (set-up, integration...), 40% for AM, 20% for IM as a rule of thumb</t>
        </r>
      </text>
    </comment>
    <comment ref="A106" authorId="0">
      <text>
        <r>
          <rPr>
            <sz val="9"/>
            <color indexed="81"/>
            <rFont val="Tahoma"/>
            <family val="2"/>
          </rPr>
          <t xml:space="preserve">Expert Support Level 3 and correction of problems related to the Product
</t>
        </r>
      </text>
    </comment>
    <comment ref="A107" authorId="0">
      <text>
        <r>
          <rPr>
            <sz val="9"/>
            <color indexed="81"/>
            <rFont val="Tahoma"/>
            <charset val="1"/>
          </rPr>
          <t>IP solution configuration + Specific developments + Integration into Client Infmoration System</t>
        </r>
      </text>
    </comment>
    <comment ref="A108" authorId="0">
      <text>
        <r>
          <rPr>
            <sz val="9"/>
            <color indexed="81"/>
            <rFont val="Tahoma"/>
            <family val="2"/>
          </rPr>
          <t>Maintenance &amp; Support of Application in the Client environment : Level 2 support, issue analysis, correction of issues not related to Product</t>
        </r>
      </text>
    </comment>
    <comment ref="B109" authorId="0">
      <text>
        <r>
          <rPr>
            <sz val="9"/>
            <color indexed="81"/>
            <rFont val="Tahoma"/>
            <family val="2"/>
          </rPr>
          <t>=TCV (Total Contract Value), that we will approximate as Bookings for the Business Plan</t>
        </r>
      </text>
    </comment>
    <comment ref="H109" authorId="0">
      <text>
        <r>
          <rPr>
            <sz val="9"/>
            <color indexed="81"/>
            <rFont val="Tahoma"/>
            <family val="2"/>
          </rPr>
          <t>This is the average CM% for this Deal Model</t>
        </r>
      </text>
    </comment>
    <comment ref="A112" authorId="0">
      <text>
        <r>
          <rPr>
            <sz val="9"/>
            <color indexed="81"/>
            <rFont val="Tahoma"/>
            <family val="2"/>
          </rPr>
          <t>Modify with the segment's actual name</t>
        </r>
      </text>
    </comment>
    <comment ref="H115" authorId="0">
      <text>
        <r>
          <rPr>
            <sz val="9"/>
            <color indexed="81"/>
            <rFont val="Tahoma"/>
            <family val="2"/>
          </rPr>
          <t>This is the Contribution Margin you expect on each component of the offering.
License is typically considered 100% CM (related costs are R&amp;D, so below CM)
Product Maintenance is usually a very profitable activity.
For other, you may pick typical Capgemini value : 50% for AD kind of work (set-up, integration...), 40% for AM, 20% for IM as a rule of thumb</t>
        </r>
      </text>
    </comment>
    <comment ref="A117" authorId="0">
      <text>
        <r>
          <rPr>
            <sz val="9"/>
            <color indexed="81"/>
            <rFont val="Tahoma"/>
            <family val="2"/>
          </rPr>
          <t xml:space="preserve">Expert Support Level 3 and correction of problems related to the Product
</t>
        </r>
      </text>
    </comment>
    <comment ref="A118" authorId="0">
      <text>
        <r>
          <rPr>
            <sz val="9"/>
            <color indexed="81"/>
            <rFont val="Tahoma"/>
            <charset val="1"/>
          </rPr>
          <t>IP solution configuration + Specific developments + Integration into Client Infmoration System</t>
        </r>
      </text>
    </comment>
    <comment ref="A119" authorId="0">
      <text>
        <r>
          <rPr>
            <sz val="9"/>
            <color indexed="81"/>
            <rFont val="Tahoma"/>
            <family val="2"/>
          </rPr>
          <t>Maintenance &amp; Support of Application in the Client environment : Level 2 support, issue analysis, correction of issues not related to Product</t>
        </r>
      </text>
    </comment>
    <comment ref="B120" authorId="0">
      <text>
        <r>
          <rPr>
            <sz val="9"/>
            <color indexed="81"/>
            <rFont val="Tahoma"/>
            <family val="2"/>
          </rPr>
          <t>=TCV (Total Contract Value), that we will approximate as Bookings for the Business Plan</t>
        </r>
      </text>
    </comment>
    <comment ref="H120" authorId="0">
      <text>
        <r>
          <rPr>
            <sz val="9"/>
            <color indexed="81"/>
            <rFont val="Tahoma"/>
            <family val="2"/>
          </rPr>
          <t>This is the average CM% for this Deal Model</t>
        </r>
      </text>
    </comment>
  </commentList>
</comments>
</file>

<file path=xl/comments3.xml><?xml version="1.0" encoding="utf-8"?>
<comments xmlns="http://schemas.openxmlformats.org/spreadsheetml/2006/main">
  <authors>
    <author>Author</author>
  </authors>
  <commentList>
    <comment ref="J11" authorId="0">
      <text>
        <r>
          <rPr>
            <sz val="9"/>
            <color indexed="81"/>
            <rFont val="Tahoma"/>
            <family val="2"/>
          </rPr>
          <t>For B-Case simplicity purposes, we assume there is no churn in the client base in the first 5 years</t>
        </r>
      </text>
    </comment>
    <comment ref="A36" authorId="0">
      <text>
        <r>
          <rPr>
            <sz val="9"/>
            <color indexed="81"/>
            <rFont val="Tahoma"/>
            <family val="2"/>
          </rPr>
          <t>For the sake of B-case simplicity, we assume Bookings = Total Contract Value (TCV). In reality, accounting rules sometimes lead to book only a part of expected TCV</t>
        </r>
      </text>
    </comment>
  </commentList>
</comments>
</file>

<file path=xl/comments4.xml><?xml version="1.0" encoding="utf-8"?>
<comments xmlns="http://schemas.openxmlformats.org/spreadsheetml/2006/main">
  <authors>
    <author>Author</author>
  </authors>
  <commentList>
    <comment ref="A11" authorId="0">
      <text>
        <r>
          <rPr>
            <sz val="9"/>
            <color indexed="81"/>
            <rFont val="Tahoma"/>
            <family val="2"/>
          </rPr>
          <t>Includes all costs needed to render the service to Client
- Cost of people to set-up &amp; integrate the product within the Client IT System
- Cost of people maintaining the Product / the Solution (AM)
- Cost of people operating the infrastructure if it is hosted (IM)
- Machines &amp; hosting costs if we provide them
- Cost of Cloud if product runs on IaaS
- etc.
All of these costs are in fact modeled when estimating the Contribution Margin for each component of the deal model</t>
        </r>
      </text>
    </comment>
    <comment ref="A19" authorId="0">
      <text>
        <r>
          <rPr>
            <sz val="9"/>
            <color indexed="81"/>
            <rFont val="Tahoma"/>
            <family val="2"/>
          </rPr>
          <t>This calculation is done by applying the average CM of the Client Segment considered (as defined in the deal model) to the overall Segment revenue</t>
        </r>
      </text>
    </comment>
    <comment ref="A30" authorId="0">
      <text>
        <r>
          <rPr>
            <sz val="9"/>
            <color indexed="81"/>
            <rFont val="Tahoma"/>
            <family val="2"/>
          </rPr>
          <t xml:space="preserve">These are all costs correlated to Sales (eg. they grow with revenues/bookings in a direct relationship) but not related to delivery. For example : 
- royalties (calculated as a % of revenues or Bookings) that we pay to partner who brought us the IP
- commission (calculated as % of revenue OR bookings) that we pay to a External Sales Channel bringing us Clients
 </t>
        </r>
      </text>
    </comment>
    <comment ref="B35" authorId="0">
      <text>
        <r>
          <rPr>
            <sz val="9"/>
            <color indexed="81"/>
            <rFont val="Tahoma"/>
            <family val="2"/>
          </rPr>
          <t>In this example, we assume there is a 5% royalty on revenues to be paid to an external partner</t>
        </r>
        <r>
          <rPr>
            <b/>
            <sz val="9"/>
            <color indexed="81"/>
            <rFont val="Tahoma"/>
            <family val="2"/>
          </rPr>
          <t xml:space="preserve"> </t>
        </r>
      </text>
    </comment>
    <comment ref="A46" authorId="0">
      <text>
        <r>
          <rPr>
            <sz val="9"/>
            <color indexed="81"/>
            <rFont val="Tahoma"/>
            <family val="2"/>
          </rPr>
          <t>Team responsible to manage the Product, not to be confused with the R&amp;D Team delivering it</t>
        </r>
      </text>
    </comment>
    <comment ref="B47" authorId="0">
      <text>
        <r>
          <rPr>
            <sz val="9"/>
            <color indexed="81"/>
            <rFont val="Tahoma"/>
            <family val="2"/>
          </rPr>
          <t>Half-time Product Manager</t>
        </r>
      </text>
    </comment>
    <comment ref="C47" authorId="0">
      <text>
        <r>
          <rPr>
            <sz val="9"/>
            <color indexed="81"/>
            <rFont val="Tahoma"/>
            <family val="2"/>
          </rPr>
          <t>Full-time Product Manager</t>
        </r>
      </text>
    </comment>
    <comment ref="B48" authorId="0">
      <text>
        <r>
          <rPr>
            <sz val="9"/>
            <color indexed="81"/>
            <rFont val="Tahoma"/>
            <family val="2"/>
          </rPr>
          <t>Half-time Product Manager</t>
        </r>
      </text>
    </comment>
    <comment ref="C48" authorId="0">
      <text>
        <r>
          <rPr>
            <sz val="9"/>
            <color indexed="81"/>
            <rFont val="Tahoma"/>
            <family val="2"/>
          </rPr>
          <t>Half-time Product Manager</t>
        </r>
      </text>
    </comment>
    <comment ref="D48" authorId="0">
      <text>
        <r>
          <rPr>
            <sz val="9"/>
            <color indexed="81"/>
            <rFont val="Tahoma"/>
            <family val="2"/>
          </rPr>
          <t>Full-time Product Manager</t>
        </r>
      </text>
    </comment>
    <comment ref="A51" authorId="0">
      <text>
        <r>
          <rPr>
            <sz val="9"/>
            <color indexed="81"/>
            <rFont val="Tahoma"/>
            <family val="2"/>
          </rPr>
          <t>Small team of expert(s) dedicated to supporting pre-sales throughout the Group</t>
        </r>
      </text>
    </comment>
    <comment ref="A52" authorId="0">
      <text>
        <r>
          <rPr>
            <sz val="9"/>
            <color indexed="81"/>
            <rFont val="Tahoma"/>
            <family val="2"/>
          </rPr>
          <t xml:space="preserve">If relevant - we usually rather try to leverage CG existing sales force
</t>
        </r>
      </text>
    </comment>
    <comment ref="A53" authorId="0">
      <text>
        <r>
          <rPr>
            <sz val="9"/>
            <color indexed="81"/>
            <rFont val="Tahoma"/>
            <family val="2"/>
          </rPr>
          <t>Very important if product is not co-developped with a 1st Client - it is very difficult to get 1st client on a product</t>
        </r>
      </text>
    </comment>
    <comment ref="A54" authorId="0">
      <text>
        <r>
          <rPr>
            <sz val="9"/>
            <color indexed="81"/>
            <rFont val="Tahoma"/>
            <family val="2"/>
          </rPr>
          <t>Videos, Brochures, etc.</t>
        </r>
      </text>
    </comment>
    <comment ref="A55" authorId="0">
      <text>
        <r>
          <rPr>
            <sz val="9"/>
            <color indexed="81"/>
            <rFont val="Tahoma"/>
            <family val="2"/>
          </rPr>
          <t xml:space="preserve">Registration costs + Expenses to participate to relevant industry events, etc. </t>
        </r>
      </text>
    </comment>
    <comment ref="A56" authorId="0">
      <text>
        <r>
          <rPr>
            <sz val="9"/>
            <color indexed="81"/>
            <rFont val="Tahoma"/>
            <family val="2"/>
          </rPr>
          <t>Calls campaign...</t>
        </r>
      </text>
    </comment>
    <comment ref="A59" authorId="0">
      <text>
        <r>
          <rPr>
            <sz val="9"/>
            <color indexed="81"/>
            <rFont val="Tahoma"/>
            <family val="2"/>
          </rPr>
          <t>Administrative Costs related to Product. Close to zero to start with, as the Product will be hosted within an existing structure (unless a separate unit is set-up). But if the B-Plan calls for a 50M€ business, we have to recognise this creates additionnal G&amp;A costs (dedicated finance controler, assistant, maybe a Manager,  etc.). Can range from 0 to 15% of revenue as a rule of thumb</t>
        </r>
        <r>
          <rPr>
            <b/>
            <sz val="9"/>
            <color indexed="81"/>
            <rFont val="Tahoma"/>
            <family val="2"/>
          </rPr>
          <t xml:space="preserve"> </t>
        </r>
      </text>
    </comment>
    <comment ref="A60" authorId="0">
      <text>
        <r>
          <rPr>
            <sz val="9"/>
            <color indexed="81"/>
            <rFont val="Tahoma"/>
            <family val="2"/>
          </rPr>
          <t>Costs of patenting etc. Only if there is a strong case of patenting - not very frequent</t>
        </r>
      </text>
    </comment>
    <comment ref="A69" authorId="0">
      <text>
        <r>
          <rPr>
            <sz val="9"/>
            <color indexed="81"/>
            <rFont val="Tahoma"/>
            <family val="2"/>
          </rPr>
          <t>This is the cost of the team building the IP Solution - the cost estimate should result from a high-level technical study &amp; resulting estimation. It can include the cost of Project Manager, but shall not include the cost of Product Manager (OPEX).</t>
        </r>
      </text>
    </comment>
    <comment ref="A70" authorId="0">
      <text>
        <r>
          <rPr>
            <sz val="9"/>
            <color indexed="81"/>
            <rFont val="Tahoma"/>
            <family val="2"/>
          </rPr>
          <t xml:space="preserve">If we acquire the IP Rights from a 3rd Party for a methodology, or for the solution itself, these costs will be capitalized and should be mentionned here
</t>
        </r>
      </text>
    </comment>
    <comment ref="A71" authorId="0">
      <text>
        <r>
          <rPr>
            <sz val="9"/>
            <color indexed="81"/>
            <rFont val="Tahoma"/>
            <family val="2"/>
          </rPr>
          <t>All licenses that we buy which are not specifically related to a Client (otherwise they will be in the Direct Costs). Typically if we buy some Oracle DB Licenses when creating a SaaS Solution</t>
        </r>
      </text>
    </comment>
    <comment ref="A72" authorId="0">
      <text>
        <r>
          <rPr>
            <sz val="9"/>
            <color indexed="81"/>
            <rFont val="Tahoma"/>
            <family val="2"/>
          </rPr>
          <t xml:space="preserve">Not specific to a client project / implementation. Can be our own test environement for example.
</t>
        </r>
      </text>
    </comment>
  </commentList>
</comments>
</file>

<file path=xl/comments5.xml><?xml version="1.0" encoding="utf-8"?>
<comments xmlns="http://schemas.openxmlformats.org/spreadsheetml/2006/main">
  <authors>
    <author>Author</author>
  </authors>
  <commentList>
    <comment ref="A16" authorId="0">
      <text>
        <r>
          <rPr>
            <sz val="9"/>
            <color indexed="81"/>
            <rFont val="Tahoma"/>
            <family val="2"/>
          </rPr>
          <t>Rename with the nature of this other direct costs : royalties, commission...</t>
        </r>
      </text>
    </comment>
    <comment ref="A28" authorId="0">
      <text>
        <r>
          <rPr>
            <sz val="9"/>
            <color indexed="81"/>
            <rFont val="Tahoma"/>
            <family val="2"/>
          </rPr>
          <t xml:space="preserve">Please precise nature of CAPEX
</t>
        </r>
      </text>
    </comment>
  </commentList>
</comments>
</file>

<file path=xl/comments6.xml><?xml version="1.0" encoding="utf-8"?>
<comments xmlns="http://schemas.openxmlformats.org/spreadsheetml/2006/main">
  <authors>
    <author>Author</author>
  </authors>
  <commentList>
    <comment ref="A15" authorId="0">
      <text>
        <r>
          <rPr>
            <sz val="9"/>
            <color indexed="81"/>
            <rFont val="Tahoma"/>
            <family val="2"/>
          </rPr>
          <t>Rename with the nature of this other direct costs : royalties, commission...</t>
        </r>
      </text>
    </comment>
    <comment ref="A25" authorId="0">
      <text>
        <r>
          <rPr>
            <sz val="9"/>
            <color indexed="81"/>
            <rFont val="Tahoma"/>
            <family val="2"/>
          </rPr>
          <t>No amortization here : this is the money really spent on year 1</t>
        </r>
      </text>
    </comment>
    <comment ref="A27" authorId="0">
      <text>
        <r>
          <rPr>
            <sz val="9"/>
            <color indexed="81"/>
            <rFont val="Tahoma"/>
            <family val="2"/>
          </rPr>
          <t xml:space="preserve">Please precise nature of CAPEX
</t>
        </r>
      </text>
    </comment>
    <comment ref="A28" authorId="0">
      <text>
        <r>
          <rPr>
            <sz val="9"/>
            <color indexed="81"/>
            <rFont val="Tahoma"/>
            <family val="2"/>
          </rPr>
          <t>This reflects the investment Capgemini will need to commit for that year on your project (as long as it is negative)</t>
        </r>
      </text>
    </comment>
  </commentList>
</comments>
</file>

<file path=xl/sharedStrings.xml><?xml version="1.0" encoding="utf-8"?>
<sst xmlns="http://schemas.openxmlformats.org/spreadsheetml/2006/main" count="503" uniqueCount="166">
  <si>
    <t>Deal Component</t>
  </si>
  <si>
    <t>Total Value</t>
  </si>
  <si>
    <t>Year 2</t>
  </si>
  <si>
    <t>Year 3</t>
  </si>
  <si>
    <t>Year 4</t>
  </si>
  <si>
    <t xml:space="preserve">Year 5 </t>
  </si>
  <si>
    <t>License</t>
  </si>
  <si>
    <t>Initial Set-up</t>
  </si>
  <si>
    <t>Run - AM</t>
  </si>
  <si>
    <t>Run - IM</t>
  </si>
  <si>
    <t>Run - Monthy Fee</t>
  </si>
  <si>
    <t>IP Solution Name :</t>
  </si>
  <si>
    <t>Business Plan Starts in year:</t>
  </si>
  <si>
    <t>Contract duration:</t>
  </si>
  <si>
    <t>Years</t>
  </si>
  <si>
    <t>REVENUE VIEW</t>
  </si>
  <si>
    <t>Total</t>
  </si>
  <si>
    <t>Year 1</t>
  </si>
  <si>
    <t>Metric used for Pay-per-use</t>
  </si>
  <si>
    <t>Recurring Revenue</t>
  </si>
  <si>
    <t xml:space="preserve">Unit Price </t>
  </si>
  <si>
    <t>Other revenue</t>
  </si>
  <si>
    <t>Hours of use</t>
  </si>
  <si>
    <t>Product License</t>
  </si>
  <si>
    <t>Product Maintenance</t>
  </si>
  <si>
    <t xml:space="preserve">Run - AM </t>
  </si>
  <si>
    <t>Only Blue cells need to be filled up</t>
  </si>
  <si>
    <t xml:space="preserve">DEAL MODELS FOR: </t>
  </si>
  <si>
    <t xml:space="preserve">SALES TARGET FOR: </t>
  </si>
  <si>
    <t>EXAMPLE</t>
  </si>
  <si>
    <t>Number of new deals signed</t>
  </si>
  <si>
    <t>Geography / Client Segment</t>
  </si>
  <si>
    <t>Client Segment 1</t>
  </si>
  <si>
    <t>Client Segment 2</t>
  </si>
  <si>
    <t>Client Segment 3</t>
  </si>
  <si>
    <t>Cumulated Number of Clients</t>
  </si>
  <si>
    <t>2 - BOOKINGS / Total Contract Value (TCV)</t>
  </si>
  <si>
    <t>Bookings / TCV</t>
  </si>
  <si>
    <t>IP Solutions sold under the "Accelerator" Model</t>
  </si>
  <si>
    <t>IP Solutions sold under the SaaS Pricing Model</t>
  </si>
  <si>
    <t>IP Solutions sold under the On-premise Licensed Pricing Model</t>
  </si>
  <si>
    <t>Country 1 (please precise)</t>
  </si>
  <si>
    <t>Country 2 (please precise)</t>
  </si>
  <si>
    <t>Country 3 (please precise)</t>
  </si>
  <si>
    <t>Country 4 (please precise)</t>
  </si>
  <si>
    <t>Country 5 (please precise)</t>
  </si>
  <si>
    <t>TOTAL CLIENT ADDITION</t>
  </si>
  <si>
    <t>TOTAL CLIENT BASE</t>
  </si>
  <si>
    <t>1 - CLIENT ADDITION and CLIENT BASE</t>
  </si>
  <si>
    <t>TOTAL BOOKINGS / TCV</t>
  </si>
  <si>
    <t>You need to change these formulas if you are not using the "Accelerator" Deal Model</t>
  </si>
  <si>
    <t>3 - REVENUES</t>
  </si>
  <si>
    <t>Total Revenues</t>
  </si>
  <si>
    <t>Revenues of deals signed in year 1</t>
  </si>
  <si>
    <t>Revenues of deals signed in year 2</t>
  </si>
  <si>
    <t>Revenues of deals signed in year 3</t>
  </si>
  <si>
    <t>Revenues of deals signed in year 4</t>
  </si>
  <si>
    <t>Revenues of deals signed in year 5</t>
  </si>
  <si>
    <t>INTERMEDIATE CALCULATION TABLES</t>
  </si>
  <si>
    <t>% CM</t>
  </si>
  <si>
    <t>TOTAL REVENUES</t>
  </si>
  <si>
    <t>CONTRIBUTION MARGIN</t>
  </si>
  <si>
    <t xml:space="preserve">COST ESTIMATION FOR: </t>
  </si>
  <si>
    <t>1 - DIRECT COSTS</t>
  </si>
  <si>
    <t>Costs related to Delivery of Client Project</t>
  </si>
  <si>
    <t xml:space="preserve">Other Direct Costs </t>
  </si>
  <si>
    <t xml:space="preserve">Delivery Direct Costs </t>
  </si>
  <si>
    <t>DELIVERY DIRECT COSTS</t>
  </si>
  <si>
    <t>TOTAL DELIVERY  DIRECT COSTS</t>
  </si>
  <si>
    <t>OTHER DIRECT COSTS</t>
  </si>
  <si>
    <t>Formulas to be created depending on the nature of the cost and their specific set-up</t>
  </si>
  <si>
    <t>Royalties on IPR to external 3rd Party</t>
  </si>
  <si>
    <t>Commissions on Sales to external 3rd Party</t>
  </si>
  <si>
    <t>Any Other (please precise)</t>
  </si>
  <si>
    <t>2 - INDIRECT COSTS - OPEX</t>
  </si>
  <si>
    <t>TOTAL OTHER  DIRECT COSTS</t>
  </si>
  <si>
    <t>Marketing &amp; Sales</t>
  </si>
  <si>
    <t>General &amp; Administration</t>
  </si>
  <si>
    <t>G&amp;A</t>
  </si>
  <si>
    <t xml:space="preserve">Product Management </t>
  </si>
  <si>
    <t>Product Business Manager (Leader)</t>
  </si>
  <si>
    <t>Product Technical Manager</t>
  </si>
  <si>
    <t>Team of dedicated Pre-Sales People</t>
  </si>
  <si>
    <t>Team of dedicated Sales People</t>
  </si>
  <si>
    <t>Sales Collaterals</t>
  </si>
  <si>
    <t>Participation to events</t>
  </si>
  <si>
    <t xml:space="preserve">Legal </t>
  </si>
  <si>
    <t>Demand Generation Campaigns</t>
  </si>
  <si>
    <t>Discount on first deal</t>
  </si>
  <si>
    <t>3 - INDIRECT COSTS - CAPEX</t>
  </si>
  <si>
    <t>Indirect OPEX</t>
  </si>
  <si>
    <t>CAPEX</t>
  </si>
  <si>
    <t>TOTAL INDIRECT OPEX</t>
  </si>
  <si>
    <t>R&amp;D</t>
  </si>
  <si>
    <t>IP Rights Acquisition Fees</t>
  </si>
  <si>
    <t>Licenses from 3rd Party Products</t>
  </si>
  <si>
    <t>Machines &amp; Infra (if we host a SaaS Service)</t>
  </si>
  <si>
    <t>TOTAL CAPEX</t>
  </si>
  <si>
    <t>R&amp;D - IP Solution Development Costs</t>
  </si>
  <si>
    <t>Gross Margin</t>
  </si>
  <si>
    <t>Gross Margin%</t>
  </si>
  <si>
    <t>Marketing &amp; Sales Costs</t>
  </si>
  <si>
    <t>Operational Margin</t>
  </si>
  <si>
    <t>Operational Margin%</t>
  </si>
  <si>
    <t>Free Cash Flow</t>
  </si>
  <si>
    <t>Total Bookings / TCV</t>
  </si>
  <si>
    <t>Delivery Direct Costs</t>
  </si>
  <si>
    <t>Other Direct Costs</t>
  </si>
  <si>
    <t>Product Management Costs</t>
  </si>
  <si>
    <t>General &amp; Administrative Costs</t>
  </si>
  <si>
    <t>P&amp;L VIEW</t>
  </si>
  <si>
    <t>Amortization of R&amp;D</t>
  </si>
  <si>
    <t xml:space="preserve">Amortization of other CAPEX type 2 </t>
  </si>
  <si>
    <t>GOP (after amortization)</t>
  </si>
  <si>
    <t>GOP Margin% (after amortization)</t>
  </si>
  <si>
    <t>You can add more lines depending on what you want to present</t>
  </si>
  <si>
    <t>Amortization formulas may need to be revised according to your amortization duration hypothesis</t>
  </si>
  <si>
    <t>P&amp;L View of :</t>
  </si>
  <si>
    <t>This sheets provides a view of the cashflow your IP Solution will provide, allowing you to identify the Investment Capgemini will need to make before it is self-funding</t>
  </si>
  <si>
    <t xml:space="preserve">other CAPEX type 2 </t>
  </si>
  <si>
    <t>Cumulated Free Cash Flow</t>
  </si>
  <si>
    <t>Until FCF is positive, Capgemini will need to invest to fund your IP Solution</t>
  </si>
  <si>
    <t>Until CFCF is positive, Capgemini has lost money with your IP Solution</t>
  </si>
  <si>
    <t>For IP Solutions requesting an important investment, this needs to be factored in, adding a cost line item (for example 5% of the negative FCF)</t>
  </si>
  <si>
    <t xml:space="preserve">Note 1 </t>
  </si>
  <si>
    <t xml:space="preserve">this simplified model does not take into account the cost of Capital (eg. The interest that the money Capgemini invested in your IP Solution could have generated) </t>
  </si>
  <si>
    <t>Note 2</t>
  </si>
  <si>
    <t>You may want to detail the 1st year of your B-Plan to get a better view of the investment and how it may impact H1 and H2 of your BU</t>
  </si>
  <si>
    <t>Cash &amp; Financing View of :</t>
  </si>
  <si>
    <t>Cash &amp; Financing View</t>
  </si>
  <si>
    <t>EXAMPLE IP SOLUTION</t>
  </si>
  <si>
    <t>Generic elements needed to edit your Business Plan</t>
  </si>
  <si>
    <t>Introduction</t>
  </si>
  <si>
    <t>- Blue cells correspond to hypothesis you need to fill up</t>
  </si>
  <si>
    <t>- This Excel sheet should be considered as a framework to build a Financial Business Plan, it contains templates, guidelines &amp; examples, but it is not an automated tool. You can/should modify it according to your needs</t>
  </si>
  <si>
    <t>- This tab will contain one or several models describing the financial profile of the Deals involving your IP Solution</t>
  </si>
  <si>
    <t>- It requires that you have defined the delivery &amp; pricing model for your IP Solution (Accelerator, SaaS, on-Premise)</t>
  </si>
  <si>
    <t>- You can create several Deal Models, for example one for each Client segment : Large Clients / Medium Clients - deal value will probably vary significantly, or Sector Vertical A / Sector Vertical B, etc.</t>
  </si>
  <si>
    <t>- For initial business cases, we recommend not to model more than 3 types of deals however to keep a relatively simple framework.</t>
  </si>
  <si>
    <t>Units charged</t>
  </si>
  <si>
    <t>Grows with business (13 sales to support in year 5 =&gt; ~30 Pursuits to support)</t>
  </si>
  <si>
    <t>No Direct Sales people in our example</t>
  </si>
  <si>
    <t>Free licenses for first two clients of each geography</t>
  </si>
  <si>
    <t>- This tab illustrates the mechanism to calculate bookings &amp; revenues, based on Sales Targets and the previously completed Deal Models</t>
  </si>
  <si>
    <t>- You can add more geographies if needed</t>
  </si>
  <si>
    <t>- Formulas point towards the "Accelerator" Deal models of the previous sheet. If you have another Deal Model, you shall rework the formulas as indicated</t>
  </si>
  <si>
    <t>THIS TABLE SHOULD BE REVIEWED AND VALIDATED BY THE RESPECTIVE BU LEADERS</t>
  </si>
  <si>
    <t>- This tab illustrates the mechanism to calculate delivery direct costs, based on Deal Models, and lists the nature of most potential other costs, sorting them between direct, indirect OPEX and indirect CAPEX</t>
  </si>
  <si>
    <t>- You can add more nature of costs as needed</t>
  </si>
  <si>
    <t>- This tab provides a synthetic P&amp;L View for your IP Solution, allowing to see if it will generate a solid profitability</t>
  </si>
  <si>
    <t>- You can add/detail lines depending on what you want to present</t>
  </si>
  <si>
    <t>- Amortization formulas may need to be revised according to your amortization duration hypothesis</t>
  </si>
  <si>
    <t>In this example, we amortize over 5 years the 200k€ IPR acquisition investment, starting mid-year 1</t>
  </si>
  <si>
    <t xml:space="preserve">In this example, we amortize R&amp;D costs over 3 years starting mid-year 1 (=&gt;1/6 in year 1 (when money is spent), 1/3 in year 2, 1/3 in year 3, 1/6 in year 4) </t>
  </si>
  <si>
    <t>Typically in our example, it would be worth from an investment perspective zooming on 2017 and 2018</t>
  </si>
  <si>
    <t>- While overall funding need in 2017 is 750k€, it may very well be that the investment need in H1 will be say 1M€ , while H2 will be positive (first deals sold)</t>
  </si>
  <si>
    <t>- Same might occur with 2018 : overall, the IP Solution should be self-funding throughout the year, but it might have a funding need in H1 before being cash positive in H2</t>
  </si>
  <si>
    <t>ILLUSTRATIVE EXAMPLE 4 (please see comments in cells)</t>
  </si>
  <si>
    <t>Large Utilities</t>
  </si>
  <si>
    <t>Mid-sized Gas Utilities Utilities</t>
  </si>
  <si>
    <t>Mid-sized Elec. Utilities Utilities</t>
  </si>
  <si>
    <t>Apps North America</t>
  </si>
  <si>
    <t>Apps Netherlands</t>
  </si>
  <si>
    <t>Apps UK</t>
  </si>
  <si>
    <t>Apps France</t>
  </si>
  <si>
    <t>Brazil</t>
  </si>
</sst>
</file>

<file path=xl/styles.xml><?xml version="1.0" encoding="utf-8"?>
<styleSheet xmlns="http://schemas.openxmlformats.org/spreadsheetml/2006/main">
  <numFmts count="4">
    <numFmt numFmtId="6" formatCode="#,##0\ &quot;€&quot;;[Red]\-#,##0\ &quot;€&quot;"/>
    <numFmt numFmtId="43" formatCode="_-* #,##0.00\ _€_-;\-* #,##0.00\ _€_-;_-* &quot;-&quot;??\ _€_-;_-@_-"/>
    <numFmt numFmtId="164" formatCode="_-* #,##0\ [$€-40C]_-;\-* #,##0\ [$€-40C]_-;_-* &quot;-&quot;??\ [$€-40C]_-;_-@_-"/>
    <numFmt numFmtId="165" formatCode="_-* #,##0\ _€_-;\-* #,##0\ _€_-;_-* &quot;-&quot;??\ _€_-;_-@_-"/>
  </numFmts>
  <fonts count="16">
    <font>
      <sz val="11"/>
      <color theme="1"/>
      <name val="Calibri"/>
      <family val="2"/>
      <scheme val="minor"/>
    </font>
    <font>
      <sz val="9"/>
      <color indexed="81"/>
      <name val="Tahoma"/>
      <charset val="1"/>
    </font>
    <font>
      <b/>
      <sz val="11"/>
      <color theme="1"/>
      <name val="Calibri"/>
      <family val="2"/>
      <scheme val="minor"/>
    </font>
    <font>
      <sz val="9"/>
      <color indexed="81"/>
      <name val="Tahoma"/>
      <family val="2"/>
    </font>
    <font>
      <b/>
      <sz val="9"/>
      <color indexed="81"/>
      <name val="Tahoma"/>
      <family val="2"/>
    </font>
    <font>
      <sz val="10"/>
      <color theme="1"/>
      <name val="Calibri"/>
      <family val="2"/>
      <scheme val="minor"/>
    </font>
    <font>
      <b/>
      <sz val="10"/>
      <color theme="1"/>
      <name val="Calibri"/>
      <family val="2"/>
      <scheme val="minor"/>
    </font>
    <font>
      <b/>
      <sz val="14"/>
      <color theme="1"/>
      <name val="Calibri"/>
      <family val="2"/>
      <scheme val="minor"/>
    </font>
    <font>
      <sz val="14"/>
      <color theme="1"/>
      <name val="Calibri"/>
      <family val="2"/>
      <scheme val="minor"/>
    </font>
    <font>
      <sz val="11"/>
      <color theme="1"/>
      <name val="Calibri"/>
      <family val="2"/>
      <scheme val="minor"/>
    </font>
    <font>
      <b/>
      <sz val="16"/>
      <color theme="1"/>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b/>
      <i/>
      <sz val="10"/>
      <color theme="1"/>
      <name val="Calibri"/>
      <family val="2"/>
      <scheme val="minor"/>
    </font>
    <font>
      <i/>
      <sz val="10"/>
      <color theme="1"/>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rgb="FFFFC0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43" fontId="9" fillId="0" borderId="0" applyFont="0" applyFill="0" applyBorder="0" applyAlignment="0" applyProtection="0"/>
    <xf numFmtId="9" fontId="9" fillId="0" borderId="0" applyFont="0" applyFill="0" applyBorder="0" applyAlignment="0" applyProtection="0"/>
  </cellStyleXfs>
  <cellXfs count="214">
    <xf numFmtId="0" fontId="0" fillId="0" borderId="0" xfId="0"/>
    <xf numFmtId="0" fontId="0" fillId="0" borderId="0" xfId="0" applyAlignment="1">
      <alignment horizontal="center"/>
    </xf>
    <xf numFmtId="0" fontId="0" fillId="0" borderId="0" xfId="0" applyAlignment="1">
      <alignment horizontal="center"/>
    </xf>
    <xf numFmtId="0" fontId="0" fillId="2" borderId="0" xfId="0" applyFill="1"/>
    <xf numFmtId="0" fontId="0" fillId="2" borderId="1" xfId="0" applyFill="1" applyBorder="1"/>
    <xf numFmtId="0" fontId="0" fillId="0" borderId="0" xfId="0" applyAlignment="1">
      <alignment horizontal="right"/>
    </xf>
    <xf numFmtId="0" fontId="2" fillId="0" borderId="0" xfId="0" applyFont="1"/>
    <xf numFmtId="164" fontId="6" fillId="4" borderId="2" xfId="0" applyNumberFormat="1" applyFont="1" applyFill="1" applyBorder="1"/>
    <xf numFmtId="164" fontId="5" fillId="2" borderId="1" xfId="0" applyNumberFormat="1" applyFont="1" applyFill="1" applyBorder="1"/>
    <xf numFmtId="164" fontId="5" fillId="2" borderId="3" xfId="0" applyNumberFormat="1" applyFont="1" applyFill="1" applyBorder="1"/>
    <xf numFmtId="0" fontId="0" fillId="0" borderId="5" xfId="0" applyBorder="1" applyAlignment="1">
      <alignment horizontal="center"/>
    </xf>
    <xf numFmtId="0" fontId="0" fillId="0" borderId="6" xfId="0" applyBorder="1" applyAlignment="1">
      <alignment horizontal="center"/>
    </xf>
    <xf numFmtId="0" fontId="0" fillId="0" borderId="2" xfId="0" applyBorder="1"/>
    <xf numFmtId="0" fontId="0" fillId="0" borderId="8" xfId="0" applyBorder="1"/>
    <xf numFmtId="0" fontId="0" fillId="0" borderId="9" xfId="0" applyBorder="1"/>
    <xf numFmtId="164" fontId="6" fillId="0" borderId="8" xfId="0" applyNumberFormat="1" applyFont="1" applyFill="1" applyBorder="1"/>
    <xf numFmtId="164" fontId="6" fillId="0" borderId="9" xfId="0" applyNumberFormat="1" applyFont="1" applyFill="1" applyBorder="1"/>
    <xf numFmtId="0" fontId="0" fillId="0" borderId="10" xfId="0" applyBorder="1"/>
    <xf numFmtId="164" fontId="6" fillId="0" borderId="10" xfId="0" applyNumberFormat="1" applyFont="1" applyFill="1" applyBorder="1"/>
    <xf numFmtId="164" fontId="6" fillId="0" borderId="7" xfId="0" applyNumberFormat="1" applyFont="1" applyFill="1" applyBorder="1"/>
    <xf numFmtId="164" fontId="6" fillId="0" borderId="5" xfId="0" applyNumberFormat="1" applyFont="1" applyFill="1" applyBorder="1"/>
    <xf numFmtId="164" fontId="6" fillId="0" borderId="6" xfId="0" applyNumberFormat="1" applyFont="1" applyFill="1" applyBorder="1"/>
    <xf numFmtId="0" fontId="0" fillId="0" borderId="4" xfId="0" applyBorder="1" applyAlignment="1">
      <alignment horizontal="center"/>
    </xf>
    <xf numFmtId="164" fontId="5" fillId="2" borderId="11" xfId="0" applyNumberFormat="1" applyFont="1" applyFill="1" applyBorder="1"/>
    <xf numFmtId="164" fontId="5" fillId="2" borderId="12" xfId="0" applyNumberFormat="1" applyFont="1" applyFill="1" applyBorder="1"/>
    <xf numFmtId="164" fontId="5" fillId="2" borderId="13" xfId="0" applyNumberFormat="1" applyFont="1" applyFill="1" applyBorder="1"/>
    <xf numFmtId="164" fontId="5" fillId="2" borderId="14" xfId="0" applyNumberFormat="1" applyFont="1" applyFill="1" applyBorder="1"/>
    <xf numFmtId="164" fontId="5" fillId="2" borderId="15" xfId="0" applyNumberFormat="1" applyFont="1" applyFill="1" applyBorder="1"/>
    <xf numFmtId="164" fontId="5" fillId="2" borderId="16" xfId="0" applyNumberFormat="1" applyFont="1" applyFill="1" applyBorder="1"/>
    <xf numFmtId="164" fontId="5" fillId="2" borderId="17" xfId="0" applyNumberFormat="1" applyFont="1" applyFill="1" applyBorder="1"/>
    <xf numFmtId="6" fontId="0" fillId="2" borderId="0" xfId="0" applyNumberFormat="1" applyFill="1"/>
    <xf numFmtId="0" fontId="5" fillId="2" borderId="13" xfId="0" applyNumberFormat="1" applyFont="1" applyFill="1" applyBorder="1"/>
    <xf numFmtId="0" fontId="5" fillId="2" borderId="1" xfId="0" applyNumberFormat="1" applyFont="1" applyFill="1" applyBorder="1"/>
    <xf numFmtId="0" fontId="5" fillId="2" borderId="14" xfId="0" applyNumberFormat="1" applyFont="1" applyFill="1" applyBorder="1"/>
    <xf numFmtId="0" fontId="6" fillId="0" borderId="18" xfId="0" applyNumberFormat="1" applyFont="1" applyFill="1" applyBorder="1"/>
    <xf numFmtId="164" fontId="5" fillId="2" borderId="20" xfId="0" applyNumberFormat="1" applyFont="1" applyFill="1" applyBorder="1"/>
    <xf numFmtId="164" fontId="5" fillId="2" borderId="21" xfId="0" applyNumberFormat="1" applyFont="1" applyFill="1" applyBorder="1"/>
    <xf numFmtId="164" fontId="5" fillId="2" borderId="22" xfId="0" applyNumberFormat="1" applyFont="1" applyFill="1" applyBorder="1"/>
    <xf numFmtId="0" fontId="7" fillId="3" borderId="0" xfId="0" applyFont="1" applyFill="1"/>
    <xf numFmtId="0" fontId="8" fillId="0" borderId="0" xfId="0" applyFont="1"/>
    <xf numFmtId="0" fontId="8" fillId="3" borderId="0" xfId="0" applyFont="1" applyFill="1"/>
    <xf numFmtId="0" fontId="0" fillId="0" borderId="26" xfId="0" applyBorder="1" applyAlignment="1">
      <alignment horizontal="left" indent="2"/>
    </xf>
    <xf numFmtId="0" fontId="0" fillId="0" borderId="25" xfId="0" applyBorder="1" applyAlignment="1">
      <alignment horizontal="left" indent="2"/>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65" fontId="2" fillId="5" borderId="20" xfId="1" applyNumberFormat="1" applyFont="1" applyFill="1" applyBorder="1"/>
    <xf numFmtId="165" fontId="2" fillId="5" borderId="21" xfId="1" applyNumberFormat="1" applyFont="1" applyFill="1" applyBorder="1"/>
    <xf numFmtId="165" fontId="2" fillId="5" borderId="22" xfId="1" applyNumberFormat="1" applyFont="1" applyFill="1" applyBorder="1"/>
    <xf numFmtId="0" fontId="2" fillId="5" borderId="23" xfId="0" applyFont="1" applyFill="1" applyBorder="1"/>
    <xf numFmtId="164" fontId="5" fillId="0" borderId="1" xfId="0" applyNumberFormat="1" applyFont="1" applyFill="1" applyBorder="1"/>
    <xf numFmtId="164" fontId="5" fillId="0" borderId="14" xfId="0" applyNumberFormat="1" applyFont="1" applyFill="1" applyBorder="1"/>
    <xf numFmtId="164" fontId="5" fillId="0" borderId="16" xfId="0" applyNumberFormat="1" applyFont="1" applyFill="1" applyBorder="1"/>
    <xf numFmtId="164" fontId="5" fillId="0" borderId="17" xfId="0" applyNumberFormat="1" applyFont="1" applyFill="1" applyBorder="1"/>
    <xf numFmtId="0" fontId="5" fillId="0" borderId="1" xfId="0" applyNumberFormat="1" applyFont="1" applyFill="1" applyBorder="1"/>
    <xf numFmtId="0" fontId="5" fillId="0" borderId="16" xfId="0" applyNumberFormat="1" applyFont="1" applyFill="1" applyBorder="1"/>
    <xf numFmtId="0" fontId="5" fillId="0" borderId="20" xfId="0" applyNumberFormat="1" applyFont="1" applyFill="1" applyBorder="1"/>
    <xf numFmtId="0" fontId="5" fillId="0" borderId="21" xfId="0" applyNumberFormat="1" applyFont="1" applyFill="1" applyBorder="1"/>
    <xf numFmtId="0" fontId="5" fillId="0" borderId="22" xfId="0" applyNumberFormat="1" applyFont="1" applyFill="1" applyBorder="1"/>
    <xf numFmtId="0" fontId="5" fillId="0" borderId="13" xfId="0" applyNumberFormat="1" applyFont="1" applyFill="1" applyBorder="1"/>
    <xf numFmtId="0" fontId="5" fillId="0" borderId="14" xfId="0" applyNumberFormat="1" applyFont="1" applyFill="1" applyBorder="1"/>
    <xf numFmtId="0" fontId="5" fillId="0" borderId="15" xfId="0" applyNumberFormat="1" applyFont="1" applyFill="1" applyBorder="1"/>
    <xf numFmtId="0" fontId="5" fillId="0" borderId="17" xfId="0" applyNumberFormat="1" applyFont="1" applyFill="1" applyBorder="1"/>
    <xf numFmtId="0" fontId="2" fillId="0" borderId="0" xfId="0" applyFont="1" applyFill="1"/>
    <xf numFmtId="0" fontId="0" fillId="0" borderId="0" xfId="0" applyFill="1"/>
    <xf numFmtId="0" fontId="2" fillId="4" borderId="0" xfId="0" applyFont="1" applyFill="1"/>
    <xf numFmtId="0" fontId="0" fillId="4" borderId="0" xfId="0" applyFill="1"/>
    <xf numFmtId="0" fontId="0" fillId="0" borderId="27" xfId="0" applyBorder="1" applyAlignment="1">
      <alignment horizontal="left" indent="2"/>
    </xf>
    <xf numFmtId="0" fontId="0" fillId="0" borderId="28" xfId="0" applyBorder="1" applyAlignment="1">
      <alignment horizontal="left" indent="2"/>
    </xf>
    <xf numFmtId="164" fontId="5" fillId="0" borderId="20" xfId="0" applyNumberFormat="1" applyFont="1" applyFill="1" applyBorder="1"/>
    <xf numFmtId="164" fontId="5" fillId="0" borderId="21" xfId="0" applyNumberFormat="1" applyFont="1" applyFill="1" applyBorder="1"/>
    <xf numFmtId="164" fontId="5" fillId="0" borderId="22" xfId="0" applyNumberFormat="1" applyFont="1" applyFill="1" applyBorder="1"/>
    <xf numFmtId="164" fontId="5" fillId="0" borderId="13" xfId="0" applyNumberFormat="1" applyFont="1" applyFill="1" applyBorder="1"/>
    <xf numFmtId="164" fontId="5" fillId="0" borderId="15" xfId="0" applyNumberFormat="1" applyFont="1" applyFill="1" applyBorder="1"/>
    <xf numFmtId="164" fontId="2" fillId="5" borderId="31" xfId="1" applyNumberFormat="1" applyFont="1" applyFill="1" applyBorder="1"/>
    <xf numFmtId="164" fontId="2" fillId="5" borderId="32" xfId="1" applyNumberFormat="1" applyFont="1" applyFill="1" applyBorder="1"/>
    <xf numFmtId="164" fontId="2" fillId="5" borderId="33" xfId="1" applyNumberFormat="1" applyFont="1" applyFill="1" applyBorder="1"/>
    <xf numFmtId="0" fontId="2" fillId="6" borderId="34" xfId="0" applyFont="1" applyFill="1" applyBorder="1" applyAlignment="1">
      <alignment horizontal="left" indent="2"/>
    </xf>
    <xf numFmtId="164" fontId="2" fillId="6" borderId="4" xfId="0" applyNumberFormat="1" applyFont="1" applyFill="1" applyBorder="1"/>
    <xf numFmtId="164" fontId="2" fillId="6" borderId="5" xfId="0" applyNumberFormat="1" applyFont="1" applyFill="1" applyBorder="1"/>
    <xf numFmtId="164" fontId="2" fillId="6" borderId="6" xfId="0" applyNumberFormat="1" applyFont="1" applyFill="1" applyBorder="1"/>
    <xf numFmtId="165" fontId="2" fillId="6" borderId="4" xfId="0" applyNumberFormat="1" applyFont="1" applyFill="1" applyBorder="1"/>
    <xf numFmtId="165" fontId="2" fillId="6" borderId="5" xfId="0" applyNumberFormat="1" applyFont="1" applyFill="1" applyBorder="1"/>
    <xf numFmtId="165" fontId="2" fillId="6" borderId="6" xfId="0" applyNumberFormat="1" applyFont="1" applyFill="1" applyBorder="1"/>
    <xf numFmtId="0" fontId="2" fillId="6" borderId="2" xfId="0" applyFont="1" applyFill="1" applyBorder="1" applyAlignment="1">
      <alignment horizontal="left" indent="2"/>
    </xf>
    <xf numFmtId="164" fontId="2" fillId="5" borderId="35" xfId="1" applyNumberFormat="1" applyFont="1" applyFill="1" applyBorder="1"/>
    <xf numFmtId="164" fontId="2" fillId="5" borderId="36" xfId="1" applyNumberFormat="1" applyFont="1" applyFill="1" applyBorder="1"/>
    <xf numFmtId="164" fontId="2" fillId="5" borderId="37" xfId="1" applyNumberFormat="1" applyFont="1" applyFill="1" applyBorder="1"/>
    <xf numFmtId="0" fontId="2" fillId="0" borderId="0" xfId="0" applyFont="1" applyFill="1" applyBorder="1" applyAlignment="1">
      <alignment horizontal="left" indent="2"/>
    </xf>
    <xf numFmtId="0" fontId="0" fillId="0" borderId="38" xfId="0" applyBorder="1" applyAlignment="1">
      <alignment horizontal="center"/>
    </xf>
    <xf numFmtId="164" fontId="5" fillId="2" borderId="39" xfId="0" applyNumberFormat="1" applyFont="1" applyFill="1" applyBorder="1"/>
    <xf numFmtId="164" fontId="5" fillId="2" borderId="40" xfId="0" applyNumberFormat="1" applyFont="1" applyFill="1" applyBorder="1"/>
    <xf numFmtId="164" fontId="6" fillId="0" borderId="38" xfId="0" applyNumberFormat="1" applyFont="1" applyFill="1" applyBorder="1"/>
    <xf numFmtId="0" fontId="0" fillId="0" borderId="2" xfId="0" applyBorder="1" applyAlignment="1">
      <alignment horizontal="center"/>
    </xf>
    <xf numFmtId="9" fontId="5" fillId="2" borderId="23" xfId="0" applyNumberFormat="1" applyFont="1" applyFill="1" applyBorder="1" applyAlignment="1">
      <alignment horizontal="center"/>
    </xf>
    <xf numFmtId="9" fontId="5" fillId="2" borderId="9" xfId="0" applyNumberFormat="1" applyFont="1" applyFill="1" applyBorder="1" applyAlignment="1">
      <alignment horizontal="center"/>
    </xf>
    <xf numFmtId="9" fontId="5" fillId="2" borderId="24" xfId="0" applyNumberFormat="1" applyFont="1" applyFill="1" applyBorder="1" applyAlignment="1">
      <alignment horizontal="center"/>
    </xf>
    <xf numFmtId="9" fontId="0" fillId="4" borderId="2" xfId="2" applyFont="1" applyFill="1" applyBorder="1" applyAlignment="1">
      <alignment horizontal="center"/>
    </xf>
    <xf numFmtId="9" fontId="5" fillId="7" borderId="9" xfId="0" applyNumberFormat="1" applyFont="1" applyFill="1" applyBorder="1" applyAlignment="1">
      <alignment horizontal="center"/>
    </xf>
    <xf numFmtId="164" fontId="5" fillId="8" borderId="29" xfId="0" applyNumberFormat="1" applyFont="1" applyFill="1" applyBorder="1"/>
    <xf numFmtId="164" fontId="5" fillId="8" borderId="18" xfId="0" applyNumberFormat="1" applyFont="1" applyFill="1" applyBorder="1"/>
    <xf numFmtId="164" fontId="5" fillId="8" borderId="30" xfId="0" applyNumberFormat="1" applyFont="1" applyFill="1" applyBorder="1"/>
    <xf numFmtId="164" fontId="5" fillId="8" borderId="21" xfId="0" applyNumberFormat="1" applyFont="1" applyFill="1" applyBorder="1"/>
    <xf numFmtId="164" fontId="5" fillId="8" borderId="1" xfId="0" applyNumberFormat="1" applyFont="1" applyFill="1" applyBorder="1"/>
    <xf numFmtId="164" fontId="5" fillId="8" borderId="16" xfId="0" applyNumberFormat="1" applyFont="1" applyFill="1" applyBorder="1"/>
    <xf numFmtId="164" fontId="5" fillId="8" borderId="20" xfId="0" applyNumberFormat="1" applyFont="1" applyFill="1" applyBorder="1"/>
    <xf numFmtId="164" fontId="5" fillId="8" borderId="13" xfId="0" applyNumberFormat="1" applyFont="1" applyFill="1" applyBorder="1"/>
    <xf numFmtId="164" fontId="5" fillId="8" borderId="15" xfId="0" applyNumberFormat="1" applyFont="1" applyFill="1" applyBorder="1"/>
    <xf numFmtId="164" fontId="5" fillId="2" borderId="41" xfId="0" applyNumberFormat="1" applyFont="1" applyFill="1" applyBorder="1"/>
    <xf numFmtId="164" fontId="5" fillId="2" borderId="42" xfId="0" applyNumberFormat="1" applyFont="1" applyFill="1" applyBorder="1"/>
    <xf numFmtId="164" fontId="5" fillId="2" borderId="43" xfId="0" applyNumberFormat="1" applyFont="1" applyFill="1" applyBorder="1"/>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164" fontId="5" fillId="2" borderId="44" xfId="0" applyNumberFormat="1" applyFont="1" applyFill="1" applyBorder="1"/>
    <xf numFmtId="164" fontId="5" fillId="2" borderId="45" xfId="0" applyNumberFormat="1" applyFont="1" applyFill="1" applyBorder="1"/>
    <xf numFmtId="0" fontId="0" fillId="0" borderId="23" xfId="0" applyBorder="1" applyAlignment="1">
      <alignment horizontal="left" indent="2"/>
    </xf>
    <xf numFmtId="0" fontId="0" fillId="0" borderId="9" xfId="0" applyBorder="1" applyAlignment="1">
      <alignment horizontal="left" indent="2"/>
    </xf>
    <xf numFmtId="164" fontId="5" fillId="2" borderId="46" xfId="0" applyNumberFormat="1" applyFont="1" applyFill="1" applyBorder="1"/>
    <xf numFmtId="0" fontId="0" fillId="0" borderId="1" xfId="0" applyBorder="1"/>
    <xf numFmtId="0" fontId="2" fillId="9" borderId="1" xfId="0" applyFont="1" applyFill="1" applyBorder="1"/>
    <xf numFmtId="0" fontId="2" fillId="9" borderId="1" xfId="0" applyFont="1" applyFill="1" applyBorder="1" applyAlignment="1">
      <alignment horizontal="left"/>
    </xf>
    <xf numFmtId="164" fontId="2" fillId="9" borderId="1" xfId="0" applyNumberFormat="1" applyFont="1" applyFill="1" applyBorder="1"/>
    <xf numFmtId="9" fontId="2" fillId="9" borderId="1" xfId="2" applyFont="1" applyFill="1" applyBorder="1" applyAlignment="1">
      <alignment horizontal="center"/>
    </xf>
    <xf numFmtId="164" fontId="0" fillId="0" borderId="1" xfId="0" applyNumberFormat="1" applyBorder="1"/>
    <xf numFmtId="0" fontId="2" fillId="10" borderId="1" xfId="0" applyFont="1" applyFill="1" applyBorder="1"/>
    <xf numFmtId="9" fontId="2" fillId="10" borderId="1" xfId="2" applyFont="1" applyFill="1" applyBorder="1" applyAlignment="1">
      <alignment horizontal="center"/>
    </xf>
    <xf numFmtId="0" fontId="0" fillId="10" borderId="1" xfId="0" applyFill="1" applyBorder="1"/>
    <xf numFmtId="164" fontId="2" fillId="10" borderId="1" xfId="0" applyNumberFormat="1" applyFont="1" applyFill="1" applyBorder="1"/>
    <xf numFmtId="0" fontId="0" fillId="0" borderId="34"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64" fontId="0" fillId="2" borderId="1" xfId="0" applyNumberFormat="1" applyFill="1" applyBorder="1"/>
    <xf numFmtId="164" fontId="2" fillId="9" borderId="1" xfId="2" applyNumberFormat="1" applyFont="1" applyFill="1" applyBorder="1" applyAlignment="1">
      <alignment horizontal="center"/>
    </xf>
    <xf numFmtId="0" fontId="0" fillId="0" borderId="0" xfId="0" quotePrefix="1"/>
    <xf numFmtId="0" fontId="8" fillId="4" borderId="0" xfId="0" applyFont="1" applyFill="1"/>
    <xf numFmtId="0" fontId="10" fillId="4" borderId="0" xfId="0" applyFont="1" applyFill="1"/>
    <xf numFmtId="1" fontId="5" fillId="2" borderId="1" xfId="0" applyNumberFormat="1" applyFont="1" applyFill="1" applyBorder="1" applyAlignment="1">
      <alignment horizontal="center"/>
    </xf>
    <xf numFmtId="1" fontId="5" fillId="2" borderId="14" xfId="0" applyNumberFormat="1" applyFont="1" applyFill="1" applyBorder="1" applyAlignment="1">
      <alignment horizontal="center"/>
    </xf>
    <xf numFmtId="1" fontId="5" fillId="2" borderId="16" xfId="0" applyNumberFormat="1" applyFont="1" applyFill="1" applyBorder="1" applyAlignment="1">
      <alignment horizontal="center"/>
    </xf>
    <xf numFmtId="1" fontId="5" fillId="2" borderId="17" xfId="0" applyNumberFormat="1" applyFont="1" applyFill="1" applyBorder="1" applyAlignment="1">
      <alignment horizontal="center"/>
    </xf>
    <xf numFmtId="0" fontId="2" fillId="5" borderId="20" xfId="1" applyNumberFormat="1" applyFont="1" applyFill="1" applyBorder="1" applyAlignment="1">
      <alignment horizontal="center"/>
    </xf>
    <xf numFmtId="0" fontId="2" fillId="5" borderId="21" xfId="1" applyNumberFormat="1" applyFont="1" applyFill="1" applyBorder="1" applyAlignment="1">
      <alignment horizontal="center"/>
    </xf>
    <xf numFmtId="0" fontId="2" fillId="5" borderId="22" xfId="1" applyNumberFormat="1" applyFont="1" applyFill="1" applyBorder="1" applyAlignment="1">
      <alignment horizontal="center"/>
    </xf>
    <xf numFmtId="1" fontId="5" fillId="2" borderId="13" xfId="0" applyNumberFormat="1" applyFont="1" applyFill="1" applyBorder="1" applyAlignment="1">
      <alignment horizontal="center"/>
    </xf>
    <xf numFmtId="1" fontId="5" fillId="2" borderId="15" xfId="0" applyNumberFormat="1" applyFont="1" applyFill="1" applyBorder="1" applyAlignment="1">
      <alignment horizontal="center"/>
    </xf>
    <xf numFmtId="1" fontId="5" fillId="2" borderId="11" xfId="0" applyNumberFormat="1" applyFont="1" applyFill="1" applyBorder="1" applyAlignment="1">
      <alignment horizontal="center"/>
    </xf>
    <xf numFmtId="1" fontId="5" fillId="2" borderId="3" xfId="0" applyNumberFormat="1" applyFont="1" applyFill="1" applyBorder="1" applyAlignment="1">
      <alignment horizontal="center"/>
    </xf>
    <xf numFmtId="1" fontId="5" fillId="2" borderId="12" xfId="0" applyNumberFormat="1" applyFont="1" applyFill="1" applyBorder="1" applyAlignment="1">
      <alignment horizontal="center"/>
    </xf>
    <xf numFmtId="0" fontId="2" fillId="6" borderId="4" xfId="0" applyNumberFormat="1" applyFont="1" applyFill="1" applyBorder="1" applyAlignment="1">
      <alignment horizontal="center"/>
    </xf>
    <xf numFmtId="0" fontId="2" fillId="6" borderId="5" xfId="0" applyNumberFormat="1" applyFont="1" applyFill="1" applyBorder="1" applyAlignment="1">
      <alignment horizontal="center"/>
    </xf>
    <xf numFmtId="0" fontId="2" fillId="6" borderId="6" xfId="0" applyNumberFormat="1" applyFont="1" applyFill="1" applyBorder="1" applyAlignment="1">
      <alignment horizontal="center"/>
    </xf>
    <xf numFmtId="164" fontId="2" fillId="6" borderId="47" xfId="0" applyNumberFormat="1" applyFont="1" applyFill="1" applyBorder="1"/>
    <xf numFmtId="164" fontId="2" fillId="6" borderId="48" xfId="0" applyNumberFormat="1" applyFont="1" applyFill="1" applyBorder="1"/>
    <xf numFmtId="164" fontId="2" fillId="6" borderId="49" xfId="0" applyNumberFormat="1" applyFont="1" applyFill="1" applyBorder="1"/>
    <xf numFmtId="164" fontId="11" fillId="9" borderId="1" xfId="0" applyNumberFormat="1" applyFont="1" applyFill="1" applyBorder="1"/>
    <xf numFmtId="164" fontId="11" fillId="9" borderId="1" xfId="2" applyNumberFormat="1" applyFont="1" applyFill="1" applyBorder="1" applyAlignment="1">
      <alignment horizontal="center"/>
    </xf>
    <xf numFmtId="9" fontId="11" fillId="9" borderId="1" xfId="2" applyFont="1" applyFill="1" applyBorder="1" applyAlignment="1">
      <alignment horizontal="center"/>
    </xf>
    <xf numFmtId="0" fontId="0" fillId="11" borderId="0" xfId="0" applyFill="1"/>
    <xf numFmtId="0" fontId="2" fillId="11" borderId="26" xfId="0" applyFont="1" applyFill="1" applyBorder="1" applyAlignment="1">
      <alignment horizontal="left" indent="2"/>
    </xf>
    <xf numFmtId="0" fontId="0" fillId="6" borderId="0" xfId="0" applyFill="1"/>
    <xf numFmtId="0" fontId="0" fillId="6" borderId="0" xfId="0" quotePrefix="1" applyFill="1"/>
    <xf numFmtId="0" fontId="12" fillId="0" borderId="0" xfId="0" applyFont="1"/>
    <xf numFmtId="0" fontId="13" fillId="0" borderId="0" xfId="0" applyFont="1"/>
    <xf numFmtId="0" fontId="13" fillId="2" borderId="0" xfId="0" applyFont="1" applyFill="1"/>
    <xf numFmtId="0" fontId="13" fillId="0" borderId="0" xfId="0" applyFont="1" applyAlignment="1">
      <alignment horizontal="center"/>
    </xf>
    <xf numFmtId="0" fontId="13" fillId="2" borderId="0" xfId="0" applyFont="1" applyFill="1" applyAlignment="1">
      <alignment horizontal="right"/>
    </xf>
    <xf numFmtId="6" fontId="13" fillId="2" borderId="0" xfId="0" applyNumberFormat="1" applyFont="1" applyFill="1"/>
    <xf numFmtId="0" fontId="13" fillId="0" borderId="2" xfId="0" applyFont="1" applyBorder="1"/>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2" xfId="0" applyFont="1" applyBorder="1" applyAlignment="1">
      <alignment horizontal="center"/>
    </xf>
    <xf numFmtId="0" fontId="13" fillId="0" borderId="9" xfId="0" applyFont="1" applyBorder="1"/>
    <xf numFmtId="164" fontId="14" fillId="0" borderId="18" xfId="0" applyNumberFormat="1" applyFont="1" applyFill="1" applyBorder="1"/>
    <xf numFmtId="164" fontId="15" fillId="2" borderId="20" xfId="0" applyNumberFormat="1" applyFont="1" applyFill="1" applyBorder="1"/>
    <xf numFmtId="164" fontId="15" fillId="2" borderId="21" xfId="0" applyNumberFormat="1" applyFont="1" applyFill="1" applyBorder="1"/>
    <xf numFmtId="164" fontId="15" fillId="2" borderId="22" xfId="0" applyNumberFormat="1" applyFont="1" applyFill="1" applyBorder="1"/>
    <xf numFmtId="9" fontId="15" fillId="2" borderId="23" xfId="0" applyNumberFormat="1" applyFont="1" applyFill="1" applyBorder="1" applyAlignment="1">
      <alignment horizontal="center"/>
    </xf>
    <xf numFmtId="0" fontId="14" fillId="0" borderId="18" xfId="0" applyNumberFormat="1" applyFont="1" applyFill="1" applyBorder="1"/>
    <xf numFmtId="0" fontId="15" fillId="2" borderId="13" xfId="0" applyNumberFormat="1" applyFont="1" applyFill="1" applyBorder="1"/>
    <xf numFmtId="0" fontId="15" fillId="2" borderId="1" xfId="0" applyNumberFormat="1" applyFont="1" applyFill="1" applyBorder="1"/>
    <xf numFmtId="0" fontId="15" fillId="2" borderId="14" xfId="0" applyNumberFormat="1" applyFont="1" applyFill="1" applyBorder="1"/>
    <xf numFmtId="9" fontId="15" fillId="7" borderId="9" xfId="0" applyNumberFormat="1" applyFont="1" applyFill="1" applyBorder="1" applyAlignment="1">
      <alignment horizontal="center"/>
    </xf>
    <xf numFmtId="164" fontId="15" fillId="2" borderId="13" xfId="0" applyNumberFormat="1" applyFont="1" applyFill="1" applyBorder="1"/>
    <xf numFmtId="164" fontId="15" fillId="2" borderId="1" xfId="0" applyNumberFormat="1" applyFont="1" applyFill="1" applyBorder="1"/>
    <xf numFmtId="164" fontId="15" fillId="2" borderId="14" xfId="0" applyNumberFormat="1" applyFont="1" applyFill="1" applyBorder="1"/>
    <xf numFmtId="9" fontId="15" fillId="2" borderId="9" xfId="0" applyNumberFormat="1" applyFont="1" applyFill="1" applyBorder="1" applyAlignment="1">
      <alignment horizontal="center"/>
    </xf>
    <xf numFmtId="0" fontId="13" fillId="0" borderId="10" xfId="0" applyFont="1" applyBorder="1"/>
    <xf numFmtId="164" fontId="14" fillId="0" borderId="19" xfId="0" applyNumberFormat="1" applyFont="1" applyFill="1" applyBorder="1"/>
    <xf numFmtId="164" fontId="15" fillId="2" borderId="15" xfId="0" applyNumberFormat="1" applyFont="1" applyFill="1" applyBorder="1"/>
    <xf numFmtId="164" fontId="15" fillId="2" borderId="16" xfId="0" applyNumberFormat="1" applyFont="1" applyFill="1" applyBorder="1"/>
    <xf numFmtId="164" fontId="15" fillId="2" borderId="17" xfId="0" applyNumberFormat="1" applyFont="1" applyFill="1" applyBorder="1"/>
    <xf numFmtId="164" fontId="14" fillId="4" borderId="2" xfId="0" applyNumberFormat="1" applyFont="1" applyFill="1" applyBorder="1"/>
    <xf numFmtId="164" fontId="14" fillId="0" borderId="7" xfId="0" applyNumberFormat="1" applyFont="1" applyFill="1" applyBorder="1"/>
    <xf numFmtId="164" fontId="14" fillId="0" borderId="5" xfId="0" applyNumberFormat="1" applyFont="1" applyFill="1" applyBorder="1"/>
    <xf numFmtId="164" fontId="14" fillId="0" borderId="6" xfId="0" applyNumberFormat="1" applyFont="1" applyFill="1" applyBorder="1"/>
    <xf numFmtId="9" fontId="13" fillId="4" borderId="2" xfId="2" applyFont="1" applyFill="1" applyBorder="1" applyAlignment="1">
      <alignment horizontal="center"/>
    </xf>
    <xf numFmtId="0" fontId="13" fillId="0" borderId="8" xfId="0" applyFont="1" applyBorder="1"/>
    <xf numFmtId="164" fontId="14" fillId="0" borderId="8" xfId="0" applyNumberFormat="1" applyFont="1" applyFill="1" applyBorder="1"/>
    <xf numFmtId="164" fontId="15" fillId="2" borderId="11" xfId="0" applyNumberFormat="1" applyFont="1" applyFill="1" applyBorder="1"/>
    <xf numFmtId="164" fontId="15" fillId="2" borderId="3" xfId="0" applyNumberFormat="1" applyFont="1" applyFill="1" applyBorder="1"/>
    <xf numFmtId="164" fontId="15" fillId="2" borderId="12" xfId="0" applyNumberFormat="1" applyFont="1" applyFill="1" applyBorder="1"/>
    <xf numFmtId="164" fontId="14" fillId="0" borderId="9" xfId="0" applyNumberFormat="1" applyFont="1" applyFill="1" applyBorder="1"/>
    <xf numFmtId="164" fontId="15" fillId="2" borderId="18" xfId="0" applyNumberFormat="1" applyFont="1" applyFill="1" applyBorder="1"/>
    <xf numFmtId="0" fontId="0" fillId="0" borderId="0" xfId="0" applyAlignment="1">
      <alignment horizontal="center"/>
    </xf>
    <xf numFmtId="0" fontId="13" fillId="0" borderId="0" xfId="0" applyFont="1" applyAlignment="1">
      <alignment horizont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dimension ref="A2:B11"/>
  <sheetViews>
    <sheetView tabSelected="1" workbookViewId="0">
      <selection activeCell="A5" sqref="A5"/>
    </sheetView>
  </sheetViews>
  <sheetFormatPr defaultRowHeight="15"/>
  <cols>
    <col min="1" max="1" width="27.42578125" customWidth="1"/>
    <col min="2" max="2" width="43.7109375" customWidth="1"/>
  </cols>
  <sheetData>
    <row r="2" spans="1:2" ht="21">
      <c r="A2" s="137" t="s">
        <v>132</v>
      </c>
      <c r="B2" s="66"/>
    </row>
    <row r="4" spans="1:2">
      <c r="A4" s="135" t="s">
        <v>134</v>
      </c>
    </row>
    <row r="5" spans="1:2">
      <c r="A5" s="135" t="s">
        <v>133</v>
      </c>
    </row>
    <row r="7" spans="1:2" ht="21">
      <c r="A7" s="137" t="s">
        <v>131</v>
      </c>
      <c r="B7" s="136"/>
    </row>
    <row r="9" spans="1:2">
      <c r="A9" s="5" t="s">
        <v>11</v>
      </c>
      <c r="B9" s="4" t="s">
        <v>130</v>
      </c>
    </row>
    <row r="11" spans="1:2">
      <c r="A11" s="5" t="s">
        <v>12</v>
      </c>
      <c r="B11" s="4">
        <v>2017</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dimension ref="A2:Q120"/>
  <sheetViews>
    <sheetView topLeftCell="A10" workbookViewId="0">
      <selection activeCell="A13" sqref="A13"/>
    </sheetView>
  </sheetViews>
  <sheetFormatPr defaultRowHeight="15"/>
  <cols>
    <col min="1" max="1" width="26.42578125" customWidth="1"/>
    <col min="2" max="2" width="11.5703125" customWidth="1"/>
    <col min="3" max="4" width="11.42578125" bestFit="1" customWidth="1"/>
    <col min="5" max="7" width="10" bestFit="1" customWidth="1"/>
    <col min="8" max="8" width="8.5703125" customWidth="1"/>
    <col min="10" max="10" width="26" customWidth="1"/>
    <col min="11" max="11" width="12" customWidth="1"/>
    <col min="12" max="14" width="10" bestFit="1" customWidth="1"/>
  </cols>
  <sheetData>
    <row r="2" spans="1:16">
      <c r="A2" s="135" t="s">
        <v>135</v>
      </c>
    </row>
    <row r="3" spans="1:16">
      <c r="A3" s="135" t="s">
        <v>136</v>
      </c>
    </row>
    <row r="4" spans="1:16">
      <c r="A4" s="135" t="s">
        <v>137</v>
      </c>
    </row>
    <row r="5" spans="1:16">
      <c r="A5" s="135" t="s">
        <v>138</v>
      </c>
    </row>
    <row r="6" spans="1:16">
      <c r="A6" s="135" t="s">
        <v>133</v>
      </c>
    </row>
    <row r="8" spans="1:16" s="39" customFormat="1" ht="18.75">
      <c r="A8" s="38" t="s">
        <v>27</v>
      </c>
      <c r="B8" s="38" t="str">
        <f>Introduction!B9</f>
        <v>EXAMPLE IP SOLUTION</v>
      </c>
      <c r="C8" s="38"/>
      <c r="D8" s="38"/>
      <c r="E8" s="38"/>
      <c r="F8" s="38"/>
      <c r="G8" s="38"/>
      <c r="H8" s="38"/>
      <c r="I8" s="38"/>
      <c r="J8" s="38"/>
      <c r="K8" s="38"/>
      <c r="L8" s="38"/>
      <c r="M8" s="38"/>
      <c r="N8" s="38"/>
      <c r="O8" s="38"/>
      <c r="P8" s="40"/>
    </row>
    <row r="10" spans="1:16">
      <c r="A10" s="65" t="s">
        <v>38</v>
      </c>
      <c r="B10" s="66"/>
      <c r="C10" s="66"/>
      <c r="D10" s="66"/>
      <c r="E10" s="66"/>
      <c r="F10" s="66"/>
      <c r="G10" s="66"/>
      <c r="H10" s="66"/>
      <c r="I10" s="66"/>
      <c r="J10" s="66"/>
      <c r="K10" s="66"/>
      <c r="L10" s="66"/>
      <c r="M10" s="66"/>
      <c r="N10" s="66"/>
      <c r="O10" s="66"/>
      <c r="P10" s="66"/>
    </row>
    <row r="12" spans="1:16">
      <c r="A12" s="6" t="s">
        <v>160</v>
      </c>
      <c r="C12" s="206"/>
      <c r="D12" s="206"/>
      <c r="E12" s="206"/>
      <c r="F12" s="206"/>
      <c r="G12" s="206"/>
    </row>
    <row r="13" spans="1:16">
      <c r="A13" t="s">
        <v>13</v>
      </c>
      <c r="B13" s="3">
        <v>5</v>
      </c>
      <c r="C13" s="1" t="s">
        <v>14</v>
      </c>
      <c r="D13" s="1"/>
      <c r="E13" s="1"/>
    </row>
    <row r="14" spans="1:16" ht="15.75" thickBot="1">
      <c r="A14" t="s">
        <v>15</v>
      </c>
      <c r="C14" s="1"/>
      <c r="D14" s="1"/>
      <c r="E14" s="1"/>
    </row>
    <row r="15" spans="1:16" ht="15.75" thickBot="1">
      <c r="A15" s="12" t="s">
        <v>0</v>
      </c>
      <c r="B15" s="12" t="s">
        <v>1</v>
      </c>
      <c r="C15" s="22" t="s">
        <v>17</v>
      </c>
      <c r="D15" s="10" t="s">
        <v>2</v>
      </c>
      <c r="E15" s="10" t="s">
        <v>3</v>
      </c>
      <c r="F15" s="10" t="s">
        <v>4</v>
      </c>
      <c r="G15" s="89" t="s">
        <v>5</v>
      </c>
      <c r="H15" s="93" t="s">
        <v>59</v>
      </c>
    </row>
    <row r="16" spans="1:16">
      <c r="A16" s="13" t="s">
        <v>6</v>
      </c>
      <c r="B16" s="15">
        <f>SUM(C16:G16)</f>
        <v>150000</v>
      </c>
      <c r="C16" s="23">
        <v>150000</v>
      </c>
      <c r="D16" s="9"/>
      <c r="E16" s="9"/>
      <c r="F16" s="9"/>
      <c r="G16" s="90"/>
      <c r="H16" s="94">
        <v>1</v>
      </c>
    </row>
    <row r="17" spans="1:8">
      <c r="A17" s="14" t="s">
        <v>7</v>
      </c>
      <c r="B17" s="16">
        <f t="shared" ref="B17:B21" si="0">SUM(C17:G17)</f>
        <v>500000</v>
      </c>
      <c r="C17" s="25">
        <v>500000</v>
      </c>
      <c r="D17" s="8"/>
      <c r="E17" s="8"/>
      <c r="F17" s="8"/>
      <c r="G17" s="91"/>
      <c r="H17" s="95">
        <v>0.5</v>
      </c>
    </row>
    <row r="18" spans="1:8">
      <c r="A18" s="14" t="s">
        <v>8</v>
      </c>
      <c r="B18" s="16">
        <f t="shared" si="0"/>
        <v>0</v>
      </c>
      <c r="C18" s="25"/>
      <c r="D18" s="8"/>
      <c r="E18" s="8"/>
      <c r="F18" s="8"/>
      <c r="G18" s="8"/>
      <c r="H18" s="95">
        <v>0.4</v>
      </c>
    </row>
    <row r="19" spans="1:8">
      <c r="A19" s="14" t="s">
        <v>9</v>
      </c>
      <c r="B19" s="16">
        <f t="shared" si="0"/>
        <v>0</v>
      </c>
      <c r="C19" s="25"/>
      <c r="D19" s="8"/>
      <c r="E19" s="8"/>
      <c r="F19" s="8"/>
      <c r="G19" s="91"/>
      <c r="H19" s="95">
        <v>0.2</v>
      </c>
    </row>
    <row r="20" spans="1:8" ht="15.75" thickBot="1">
      <c r="A20" s="17" t="s">
        <v>10</v>
      </c>
      <c r="B20" s="18">
        <f t="shared" si="0"/>
        <v>750000</v>
      </c>
      <c r="C20" s="27">
        <f>15000*2</f>
        <v>30000</v>
      </c>
      <c r="D20" s="28">
        <f>12*15000</f>
        <v>180000</v>
      </c>
      <c r="E20" s="28">
        <f t="shared" ref="E20:G20" si="1">12*15000</f>
        <v>180000</v>
      </c>
      <c r="F20" s="28">
        <f t="shared" si="1"/>
        <v>180000</v>
      </c>
      <c r="G20" s="28">
        <f t="shared" si="1"/>
        <v>180000</v>
      </c>
      <c r="H20" s="96">
        <v>0.3</v>
      </c>
    </row>
    <row r="21" spans="1:8" ht="15.75" thickBot="1">
      <c r="A21" s="12" t="s">
        <v>16</v>
      </c>
      <c r="B21" s="7">
        <f t="shared" si="0"/>
        <v>1400000</v>
      </c>
      <c r="C21" s="19">
        <f>SUM(C16:C20)</f>
        <v>680000</v>
      </c>
      <c r="D21" s="20">
        <f t="shared" ref="D21" si="2">SUM(D16:D20)</f>
        <v>180000</v>
      </c>
      <c r="E21" s="20">
        <f t="shared" ref="E21" si="3">SUM(E16:E20)</f>
        <v>180000</v>
      </c>
      <c r="F21" s="20">
        <f t="shared" ref="F21" si="4">SUM(F16:F20)</f>
        <v>180000</v>
      </c>
      <c r="G21" s="92">
        <f t="shared" ref="G21" si="5">SUM(G16:G20)</f>
        <v>180000</v>
      </c>
      <c r="H21" s="97">
        <f>(H16*B16+H17*B17+H18*B18+H19*B19+H20*B20)/B21</f>
        <v>0.44642857142857145</v>
      </c>
    </row>
    <row r="22" spans="1:8">
      <c r="H22" s="1"/>
    </row>
    <row r="23" spans="1:8">
      <c r="H23" s="1"/>
    </row>
    <row r="24" spans="1:8">
      <c r="A24" s="6" t="s">
        <v>159</v>
      </c>
      <c r="C24" s="206"/>
      <c r="D24" s="206"/>
      <c r="E24" s="206"/>
      <c r="F24" s="206"/>
      <c r="G24" s="206"/>
      <c r="H24" s="1"/>
    </row>
    <row r="25" spans="1:8">
      <c r="A25" t="s">
        <v>13</v>
      </c>
      <c r="B25" s="3">
        <v>3</v>
      </c>
      <c r="C25" s="2" t="s">
        <v>14</v>
      </c>
      <c r="D25" s="2"/>
      <c r="E25" s="2"/>
      <c r="H25" s="1"/>
    </row>
    <row r="26" spans="1:8" ht="15.75" thickBot="1">
      <c r="A26" t="s">
        <v>15</v>
      </c>
      <c r="C26" s="2"/>
      <c r="D26" s="2"/>
      <c r="E26" s="2"/>
    </row>
    <row r="27" spans="1:8" ht="15.75" thickBot="1">
      <c r="A27" s="12" t="s">
        <v>0</v>
      </c>
      <c r="B27" s="12" t="s">
        <v>1</v>
      </c>
      <c r="C27" s="22" t="s">
        <v>17</v>
      </c>
      <c r="D27" s="10" t="s">
        <v>2</v>
      </c>
      <c r="E27" s="10" t="s">
        <v>3</v>
      </c>
      <c r="F27" s="10" t="s">
        <v>4</v>
      </c>
      <c r="G27" s="11" t="s">
        <v>5</v>
      </c>
      <c r="H27" s="93" t="s">
        <v>59</v>
      </c>
    </row>
    <row r="28" spans="1:8">
      <c r="A28" s="13" t="s">
        <v>6</v>
      </c>
      <c r="B28" s="15">
        <f>SUM(C28:G28)</f>
        <v>250000</v>
      </c>
      <c r="C28" s="23">
        <v>250000</v>
      </c>
      <c r="D28" s="9"/>
      <c r="E28" s="9"/>
      <c r="F28" s="9"/>
      <c r="G28" s="24"/>
      <c r="H28" s="94">
        <v>1</v>
      </c>
    </row>
    <row r="29" spans="1:8">
      <c r="A29" s="14" t="s">
        <v>7</v>
      </c>
      <c r="B29" s="16">
        <f t="shared" ref="B29:B33" si="6">SUM(C29:G29)</f>
        <v>1000000</v>
      </c>
      <c r="C29" s="25">
        <v>1000000</v>
      </c>
      <c r="D29" s="8"/>
      <c r="E29" s="8"/>
      <c r="F29" s="8"/>
      <c r="G29" s="26"/>
      <c r="H29" s="95">
        <v>0.45</v>
      </c>
    </row>
    <row r="30" spans="1:8">
      <c r="A30" s="14" t="s">
        <v>8</v>
      </c>
      <c r="B30" s="16">
        <f t="shared" si="6"/>
        <v>400000</v>
      </c>
      <c r="C30" s="25"/>
      <c r="D30" s="8">
        <v>200000</v>
      </c>
      <c r="E30" s="8">
        <v>200000</v>
      </c>
      <c r="F30" s="8"/>
      <c r="G30" s="8"/>
      <c r="H30" s="95">
        <v>0.4</v>
      </c>
    </row>
    <row r="31" spans="1:8">
      <c r="A31" s="14" t="s">
        <v>9</v>
      </c>
      <c r="B31" s="16">
        <f t="shared" si="6"/>
        <v>0</v>
      </c>
      <c r="C31" s="25"/>
      <c r="D31" s="8"/>
      <c r="E31" s="8"/>
      <c r="F31" s="8"/>
      <c r="G31" s="26"/>
      <c r="H31" s="95">
        <v>0.2</v>
      </c>
    </row>
    <row r="32" spans="1:8" ht="15.75" thickBot="1">
      <c r="A32" s="17" t="s">
        <v>10</v>
      </c>
      <c r="B32" s="18">
        <f t="shared" si="6"/>
        <v>0</v>
      </c>
      <c r="C32" s="27"/>
      <c r="D32" s="28"/>
      <c r="E32" s="28"/>
      <c r="F32" s="28"/>
      <c r="G32" s="29"/>
      <c r="H32" s="96">
        <v>0.3</v>
      </c>
    </row>
    <row r="33" spans="1:16" ht="15.75" thickBot="1">
      <c r="A33" s="12" t="s">
        <v>16</v>
      </c>
      <c r="B33" s="7">
        <f t="shared" si="6"/>
        <v>1650000</v>
      </c>
      <c r="C33" s="19">
        <f>SUM(C28:C32)</f>
        <v>1250000</v>
      </c>
      <c r="D33" s="20">
        <f t="shared" ref="D33:G33" si="7">SUM(D28:D32)</f>
        <v>200000</v>
      </c>
      <c r="E33" s="20">
        <f t="shared" si="7"/>
        <v>200000</v>
      </c>
      <c r="F33" s="20">
        <f t="shared" si="7"/>
        <v>0</v>
      </c>
      <c r="G33" s="21">
        <f t="shared" si="7"/>
        <v>0</v>
      </c>
      <c r="H33" s="97">
        <f>(H28*B28+H29*B29+H30*B30+H31*B31+H32*B32)/B33</f>
        <v>0.52121212121212124</v>
      </c>
    </row>
    <row r="34" spans="1:16">
      <c r="H34" s="1"/>
    </row>
    <row r="35" spans="1:16">
      <c r="H35" s="1"/>
    </row>
    <row r="36" spans="1:16">
      <c r="A36" s="6" t="s">
        <v>158</v>
      </c>
      <c r="C36" s="206"/>
      <c r="D36" s="206"/>
      <c r="E36" s="206"/>
      <c r="F36" s="206"/>
      <c r="G36" s="206"/>
      <c r="H36" s="2"/>
    </row>
    <row r="37" spans="1:16">
      <c r="A37" t="s">
        <v>13</v>
      </c>
      <c r="B37" s="3">
        <v>5</v>
      </c>
      <c r="C37" s="2" t="s">
        <v>14</v>
      </c>
      <c r="D37" s="2"/>
      <c r="E37" s="2"/>
      <c r="H37" s="2"/>
    </row>
    <row r="38" spans="1:16" ht="15.75" thickBot="1">
      <c r="A38" t="s">
        <v>15</v>
      </c>
      <c r="C38" s="2"/>
      <c r="D38" s="2"/>
      <c r="E38" s="2"/>
      <c r="H38" s="2"/>
    </row>
    <row r="39" spans="1:16" ht="15.75" thickBot="1">
      <c r="A39" s="12" t="s">
        <v>0</v>
      </c>
      <c r="B39" s="12" t="s">
        <v>1</v>
      </c>
      <c r="C39" s="22" t="s">
        <v>17</v>
      </c>
      <c r="D39" s="10" t="s">
        <v>2</v>
      </c>
      <c r="E39" s="10" t="s">
        <v>3</v>
      </c>
      <c r="F39" s="10" t="s">
        <v>4</v>
      </c>
      <c r="G39" s="11" t="s">
        <v>5</v>
      </c>
      <c r="H39" s="93" t="s">
        <v>59</v>
      </c>
    </row>
    <row r="40" spans="1:16">
      <c r="A40" s="13" t="s">
        <v>6</v>
      </c>
      <c r="B40" s="15">
        <f>SUM(C40:G40)</f>
        <v>400000</v>
      </c>
      <c r="C40" s="23">
        <v>400000</v>
      </c>
      <c r="D40" s="9"/>
      <c r="E40" s="9"/>
      <c r="F40" s="9"/>
      <c r="G40" s="24"/>
      <c r="H40" s="94">
        <v>1</v>
      </c>
    </row>
    <row r="41" spans="1:16">
      <c r="A41" s="14" t="s">
        <v>7</v>
      </c>
      <c r="B41" s="16">
        <f t="shared" ref="B41:B45" si="8">SUM(C41:G41)</f>
        <v>2250000</v>
      </c>
      <c r="C41" s="25">
        <v>1500000</v>
      </c>
      <c r="D41" s="8">
        <v>750000</v>
      </c>
      <c r="E41" s="8"/>
      <c r="F41" s="8"/>
      <c r="G41" s="26"/>
      <c r="H41" s="95">
        <v>0.45</v>
      </c>
    </row>
    <row r="42" spans="1:16">
      <c r="A42" s="14" t="s">
        <v>8</v>
      </c>
      <c r="B42" s="16">
        <f t="shared" si="8"/>
        <v>1400000</v>
      </c>
      <c r="C42" s="25"/>
      <c r="D42" s="8">
        <v>200000</v>
      </c>
      <c r="E42" s="8">
        <v>400000</v>
      </c>
      <c r="F42" s="8">
        <v>400000</v>
      </c>
      <c r="G42" s="26">
        <v>400000</v>
      </c>
      <c r="H42" s="95">
        <v>0.4</v>
      </c>
    </row>
    <row r="43" spans="1:16">
      <c r="A43" s="14" t="s">
        <v>9</v>
      </c>
      <c r="B43" s="16">
        <f t="shared" si="8"/>
        <v>1600000</v>
      </c>
      <c r="C43" s="25"/>
      <c r="D43" s="8">
        <v>400000</v>
      </c>
      <c r="E43" s="8">
        <v>400000</v>
      </c>
      <c r="F43" s="8">
        <v>400000</v>
      </c>
      <c r="G43" s="26">
        <v>400000</v>
      </c>
      <c r="H43" s="95">
        <v>0.2</v>
      </c>
    </row>
    <row r="44" spans="1:16" ht="15.75" thickBot="1">
      <c r="A44" s="17" t="s">
        <v>10</v>
      </c>
      <c r="B44" s="18">
        <f t="shared" si="8"/>
        <v>0</v>
      </c>
      <c r="C44" s="27"/>
      <c r="D44" s="28"/>
      <c r="E44" s="28"/>
      <c r="F44" s="28"/>
      <c r="G44" s="29"/>
      <c r="H44" s="96">
        <v>0.3</v>
      </c>
    </row>
    <row r="45" spans="1:16" ht="15.75" thickBot="1">
      <c r="A45" s="12" t="s">
        <v>16</v>
      </c>
      <c r="B45" s="7">
        <f t="shared" si="8"/>
        <v>5650000</v>
      </c>
      <c r="C45" s="19">
        <f>SUM(C40:C44)</f>
        <v>1900000</v>
      </c>
      <c r="D45" s="20">
        <f t="shared" ref="D45:G45" si="9">SUM(D40:D44)</f>
        <v>1350000</v>
      </c>
      <c r="E45" s="20">
        <f t="shared" si="9"/>
        <v>800000</v>
      </c>
      <c r="F45" s="20">
        <f t="shared" si="9"/>
        <v>800000</v>
      </c>
      <c r="G45" s="21">
        <f t="shared" si="9"/>
        <v>800000</v>
      </c>
      <c r="H45" s="97">
        <f>(H40*B40+H41*B41+H42*B42+H43*B43+H44*B44)/B45</f>
        <v>0.40575221238938053</v>
      </c>
    </row>
    <row r="47" spans="1:16">
      <c r="A47" s="65" t="s">
        <v>39</v>
      </c>
      <c r="B47" s="66"/>
      <c r="C47" s="66"/>
      <c r="D47" s="66"/>
      <c r="E47" s="66"/>
      <c r="F47" s="66"/>
      <c r="G47" s="66"/>
      <c r="H47" s="66"/>
      <c r="I47" s="66"/>
      <c r="J47" s="66"/>
      <c r="K47" s="66"/>
      <c r="L47" s="66"/>
      <c r="M47" s="66"/>
      <c r="N47" s="66"/>
      <c r="O47" s="66"/>
      <c r="P47" s="66"/>
    </row>
    <row r="48" spans="1:16" s="64" customFormat="1">
      <c r="A48" s="63"/>
    </row>
    <row r="49" spans="1:17">
      <c r="A49" s="6" t="s">
        <v>32</v>
      </c>
      <c r="C49" s="206"/>
      <c r="D49" s="206"/>
      <c r="E49" s="206"/>
      <c r="F49" s="206"/>
      <c r="G49" s="206"/>
      <c r="J49" s="163" t="s">
        <v>29</v>
      </c>
      <c r="K49" s="164"/>
      <c r="L49" s="207"/>
      <c r="M49" s="207"/>
      <c r="N49" s="207"/>
      <c r="O49" s="207"/>
      <c r="P49" s="207"/>
      <c r="Q49" s="164"/>
    </row>
    <row r="50" spans="1:17">
      <c r="A50" t="s">
        <v>13</v>
      </c>
      <c r="B50" s="3"/>
      <c r="C50" s="1" t="s">
        <v>14</v>
      </c>
      <c r="D50" s="1"/>
      <c r="E50" s="1"/>
      <c r="J50" s="164" t="s">
        <v>13</v>
      </c>
      <c r="K50" s="165">
        <v>3</v>
      </c>
      <c r="L50" s="166" t="s">
        <v>14</v>
      </c>
      <c r="M50" s="166"/>
      <c r="N50" s="166"/>
      <c r="O50" s="164"/>
      <c r="P50" s="164"/>
      <c r="Q50" s="164"/>
    </row>
    <row r="51" spans="1:17">
      <c r="A51" t="s">
        <v>18</v>
      </c>
      <c r="B51" s="3"/>
      <c r="C51" s="1"/>
      <c r="D51" s="1"/>
      <c r="E51" s="1"/>
      <c r="J51" s="164" t="s">
        <v>18</v>
      </c>
      <c r="K51" s="167" t="s">
        <v>22</v>
      </c>
      <c r="L51" s="166"/>
      <c r="M51" s="166"/>
      <c r="N51" s="166"/>
      <c r="O51" s="164"/>
      <c r="P51" s="164"/>
      <c r="Q51" s="164"/>
    </row>
    <row r="52" spans="1:17">
      <c r="A52" t="s">
        <v>20</v>
      </c>
      <c r="B52" s="30"/>
      <c r="C52" s="1"/>
      <c r="D52" s="1"/>
      <c r="E52" s="1"/>
      <c r="J52" s="164" t="s">
        <v>20</v>
      </c>
      <c r="K52" s="168">
        <v>3</v>
      </c>
      <c r="L52" s="166"/>
      <c r="M52" s="166"/>
      <c r="N52" s="166"/>
      <c r="O52" s="164"/>
      <c r="P52" s="164"/>
      <c r="Q52" s="164"/>
    </row>
    <row r="53" spans="1:17" ht="15.75" thickBot="1">
      <c r="A53" t="s">
        <v>15</v>
      </c>
      <c r="C53" s="1"/>
      <c r="D53" s="1"/>
      <c r="E53" s="1"/>
      <c r="J53" s="164" t="s">
        <v>15</v>
      </c>
      <c r="K53" s="164"/>
      <c r="L53" s="166"/>
      <c r="M53" s="166"/>
      <c r="N53" s="166"/>
      <c r="O53" s="164"/>
      <c r="P53" s="164"/>
      <c r="Q53" s="164"/>
    </row>
    <row r="54" spans="1:17" ht="15.75" thickBot="1">
      <c r="A54" s="12" t="s">
        <v>0</v>
      </c>
      <c r="B54" s="12" t="s">
        <v>1</v>
      </c>
      <c r="C54" s="22" t="s">
        <v>17</v>
      </c>
      <c r="D54" s="10" t="s">
        <v>2</v>
      </c>
      <c r="E54" s="10" t="s">
        <v>3</v>
      </c>
      <c r="F54" s="10" t="s">
        <v>4</v>
      </c>
      <c r="G54" s="11" t="s">
        <v>5</v>
      </c>
      <c r="H54" s="93" t="s">
        <v>59</v>
      </c>
      <c r="J54" s="169" t="s">
        <v>0</v>
      </c>
      <c r="K54" s="169" t="s">
        <v>1</v>
      </c>
      <c r="L54" s="170" t="s">
        <v>17</v>
      </c>
      <c r="M54" s="171" t="s">
        <v>2</v>
      </c>
      <c r="N54" s="171" t="s">
        <v>3</v>
      </c>
      <c r="O54" s="171" t="s">
        <v>4</v>
      </c>
      <c r="P54" s="172" t="s">
        <v>5</v>
      </c>
      <c r="Q54" s="173" t="s">
        <v>59</v>
      </c>
    </row>
    <row r="55" spans="1:17">
      <c r="A55" s="14" t="s">
        <v>7</v>
      </c>
      <c r="B55" s="16">
        <f t="shared" ref="B55:B59" si="10">SUM(C55:G55)</f>
        <v>0</v>
      </c>
      <c r="C55" s="25"/>
      <c r="D55" s="8"/>
      <c r="E55" s="8"/>
      <c r="F55" s="8"/>
      <c r="G55" s="26"/>
      <c r="H55" s="94"/>
      <c r="J55" s="174" t="s">
        <v>7</v>
      </c>
      <c r="K55" s="175">
        <f t="shared" ref="K55:K59" si="11">SUM(L55:P55)</f>
        <v>250000</v>
      </c>
      <c r="L55" s="176">
        <v>250000</v>
      </c>
      <c r="M55" s="177"/>
      <c r="N55" s="177"/>
      <c r="O55" s="177"/>
      <c r="P55" s="178"/>
      <c r="Q55" s="179">
        <v>0.3</v>
      </c>
    </row>
    <row r="56" spans="1:17">
      <c r="A56" s="14" t="s">
        <v>139</v>
      </c>
      <c r="B56" s="34">
        <f t="shared" si="10"/>
        <v>0</v>
      </c>
      <c r="C56" s="31"/>
      <c r="D56" s="32"/>
      <c r="E56" s="32"/>
      <c r="F56" s="32"/>
      <c r="G56" s="33"/>
      <c r="H56" s="98"/>
      <c r="J56" s="174" t="s">
        <v>139</v>
      </c>
      <c r="K56" s="180">
        <f t="shared" si="11"/>
        <v>190000</v>
      </c>
      <c r="L56" s="181">
        <v>20000</v>
      </c>
      <c r="M56" s="182">
        <v>80000</v>
      </c>
      <c r="N56" s="182">
        <v>90000</v>
      </c>
      <c r="O56" s="182"/>
      <c r="P56" s="183"/>
      <c r="Q56" s="184"/>
    </row>
    <row r="57" spans="1:17">
      <c r="A57" s="14" t="s">
        <v>19</v>
      </c>
      <c r="B57" s="16">
        <f t="shared" si="10"/>
        <v>0</v>
      </c>
      <c r="C57" s="25"/>
      <c r="D57" s="8"/>
      <c r="E57" s="8"/>
      <c r="F57" s="8"/>
      <c r="G57" s="26"/>
      <c r="H57" s="95"/>
      <c r="J57" s="174" t="s">
        <v>19</v>
      </c>
      <c r="K57" s="175">
        <f t="shared" si="11"/>
        <v>570000</v>
      </c>
      <c r="L57" s="185">
        <f>L56*$K$52</f>
        <v>60000</v>
      </c>
      <c r="M57" s="186">
        <f>M56*$K$52</f>
        <v>240000</v>
      </c>
      <c r="N57" s="186">
        <f>N56*$K$52</f>
        <v>270000</v>
      </c>
      <c r="O57" s="186">
        <f>O56*$K$52</f>
        <v>0</v>
      </c>
      <c r="P57" s="187">
        <f>P56*$K$52</f>
        <v>0</v>
      </c>
      <c r="Q57" s="188">
        <v>0.75</v>
      </c>
    </row>
    <row r="58" spans="1:17" ht="15.75" thickBot="1">
      <c r="A58" s="17" t="s">
        <v>21</v>
      </c>
      <c r="B58" s="18">
        <f t="shared" si="10"/>
        <v>0</v>
      </c>
      <c r="C58" s="27"/>
      <c r="D58" s="28"/>
      <c r="E58" s="28"/>
      <c r="F58" s="28"/>
      <c r="G58" s="29"/>
      <c r="H58" s="95"/>
      <c r="J58" s="189" t="s">
        <v>21</v>
      </c>
      <c r="K58" s="190">
        <f t="shared" si="11"/>
        <v>0</v>
      </c>
      <c r="L58" s="191"/>
      <c r="M58" s="192"/>
      <c r="N58" s="192"/>
      <c r="O58" s="192"/>
      <c r="P58" s="193"/>
      <c r="Q58" s="188"/>
    </row>
    <row r="59" spans="1:17" ht="15.75" thickBot="1">
      <c r="A59" s="12" t="s">
        <v>16</v>
      </c>
      <c r="B59" s="7">
        <f t="shared" si="10"/>
        <v>0</v>
      </c>
      <c r="C59" s="19">
        <f>SUM(C55:C58)</f>
        <v>0</v>
      </c>
      <c r="D59" s="20">
        <f>SUM(D55:D58)</f>
        <v>0</v>
      </c>
      <c r="E59" s="20">
        <f>SUM(E55:E58)</f>
        <v>0</v>
      </c>
      <c r="F59" s="20">
        <f>SUM(F55:F58)</f>
        <v>0</v>
      </c>
      <c r="G59" s="21">
        <f>SUM(G55:G58)</f>
        <v>0</v>
      </c>
      <c r="H59" s="97" t="e">
        <f>(H55*B55+H57*B57+H58*B58)/B59</f>
        <v>#DIV/0!</v>
      </c>
      <c r="J59" s="169" t="s">
        <v>16</v>
      </c>
      <c r="K59" s="194">
        <f t="shared" si="11"/>
        <v>1010000</v>
      </c>
      <c r="L59" s="195">
        <f>SUM(L55:L58)</f>
        <v>330000</v>
      </c>
      <c r="M59" s="196">
        <f>SUM(M55:M58)</f>
        <v>320000</v>
      </c>
      <c r="N59" s="196">
        <f>SUM(N55:N58)</f>
        <v>360000</v>
      </c>
      <c r="O59" s="196">
        <f>SUM(O55:O58)</f>
        <v>0</v>
      </c>
      <c r="P59" s="197">
        <f>SUM(P55:P58)</f>
        <v>0</v>
      </c>
      <c r="Q59" s="198">
        <f>(Q55*K55+Q57*K57+Q58*K58)/K59</f>
        <v>0.49752475247524752</v>
      </c>
    </row>
    <row r="62" spans="1:17">
      <c r="A62" s="6" t="s">
        <v>33</v>
      </c>
      <c r="C62" s="206"/>
      <c r="D62" s="206"/>
      <c r="E62" s="206"/>
      <c r="F62" s="206"/>
      <c r="G62" s="206"/>
    </row>
    <row r="63" spans="1:17">
      <c r="A63" t="s">
        <v>13</v>
      </c>
      <c r="B63" s="3"/>
      <c r="C63" s="2" t="s">
        <v>14</v>
      </c>
      <c r="D63" s="2"/>
      <c r="E63" s="2"/>
    </row>
    <row r="64" spans="1:17">
      <c r="A64" t="s">
        <v>18</v>
      </c>
      <c r="B64" s="3"/>
      <c r="C64" s="2"/>
      <c r="D64" s="2"/>
      <c r="E64" s="2"/>
    </row>
    <row r="65" spans="1:8">
      <c r="A65" t="s">
        <v>20</v>
      </c>
      <c r="B65" s="30"/>
      <c r="C65" s="2"/>
      <c r="D65" s="2"/>
      <c r="E65" s="2"/>
    </row>
    <row r="66" spans="1:8" ht="15.75" thickBot="1">
      <c r="A66" t="s">
        <v>15</v>
      </c>
      <c r="C66" s="2"/>
      <c r="D66" s="2"/>
      <c r="E66" s="2"/>
    </row>
    <row r="67" spans="1:8" ht="15.75" thickBot="1">
      <c r="A67" s="12" t="s">
        <v>0</v>
      </c>
      <c r="B67" s="12" t="s">
        <v>1</v>
      </c>
      <c r="C67" s="22" t="s">
        <v>17</v>
      </c>
      <c r="D67" s="10" t="s">
        <v>2</v>
      </c>
      <c r="E67" s="10" t="s">
        <v>3</v>
      </c>
      <c r="F67" s="10" t="s">
        <v>4</v>
      </c>
      <c r="G67" s="11" t="s">
        <v>5</v>
      </c>
      <c r="H67" s="93" t="s">
        <v>59</v>
      </c>
    </row>
    <row r="68" spans="1:8">
      <c r="A68" s="14" t="s">
        <v>7</v>
      </c>
      <c r="B68" s="16">
        <f t="shared" ref="B68:B72" si="12">SUM(C68:G68)</f>
        <v>0</v>
      </c>
      <c r="C68" s="25"/>
      <c r="D68" s="8"/>
      <c r="E68" s="8"/>
      <c r="F68" s="8"/>
      <c r="G68" s="26"/>
      <c r="H68" s="94"/>
    </row>
    <row r="69" spans="1:8">
      <c r="A69" s="14" t="s">
        <v>18</v>
      </c>
      <c r="B69" s="34">
        <f t="shared" si="12"/>
        <v>0</v>
      </c>
      <c r="C69" s="31"/>
      <c r="D69" s="32"/>
      <c r="E69" s="32"/>
      <c r="F69" s="32"/>
      <c r="G69" s="33"/>
      <c r="H69" s="98"/>
    </row>
    <row r="70" spans="1:8">
      <c r="A70" s="14" t="s">
        <v>19</v>
      </c>
      <c r="B70" s="16">
        <f t="shared" si="12"/>
        <v>0</v>
      </c>
      <c r="C70" s="25"/>
      <c r="D70" s="8"/>
      <c r="E70" s="8"/>
      <c r="F70" s="8"/>
      <c r="G70" s="26"/>
      <c r="H70" s="95"/>
    </row>
    <row r="71" spans="1:8" ht="15.75" thickBot="1">
      <c r="A71" s="17" t="s">
        <v>21</v>
      </c>
      <c r="B71" s="18">
        <f t="shared" si="12"/>
        <v>0</v>
      </c>
      <c r="C71" s="27"/>
      <c r="D71" s="28"/>
      <c r="E71" s="28"/>
      <c r="F71" s="28"/>
      <c r="G71" s="29"/>
      <c r="H71" s="95"/>
    </row>
    <row r="72" spans="1:8" ht="15.75" thickBot="1">
      <c r="A72" s="12" t="s">
        <v>16</v>
      </c>
      <c r="B72" s="7">
        <f t="shared" si="12"/>
        <v>0</v>
      </c>
      <c r="C72" s="19">
        <f>SUM(C68:C71)</f>
        <v>0</v>
      </c>
      <c r="D72" s="20">
        <f>SUM(D68:D71)</f>
        <v>0</v>
      </c>
      <c r="E72" s="20">
        <f>SUM(E68:E71)</f>
        <v>0</v>
      </c>
      <c r="F72" s="20">
        <f>SUM(F68:F71)</f>
        <v>0</v>
      </c>
      <c r="G72" s="21">
        <f>SUM(G68:G71)</f>
        <v>0</v>
      </c>
      <c r="H72" s="97" t="e">
        <f>(H68*B68+H70*B70+H71*B71)/B72</f>
        <v>#DIV/0!</v>
      </c>
    </row>
    <row r="75" spans="1:8">
      <c r="A75" s="6" t="s">
        <v>34</v>
      </c>
      <c r="C75" s="206"/>
      <c r="D75" s="206"/>
      <c r="E75" s="206"/>
      <c r="F75" s="206"/>
      <c r="G75" s="206"/>
    </row>
    <row r="76" spans="1:8">
      <c r="A76" t="s">
        <v>13</v>
      </c>
      <c r="B76" s="3"/>
      <c r="C76" s="2" t="s">
        <v>14</v>
      </c>
      <c r="D76" s="2"/>
      <c r="E76" s="2"/>
    </row>
    <row r="77" spans="1:8">
      <c r="A77" t="s">
        <v>18</v>
      </c>
      <c r="B77" s="3"/>
      <c r="C77" s="2"/>
      <c r="D77" s="2"/>
      <c r="E77" s="2"/>
    </row>
    <row r="78" spans="1:8">
      <c r="A78" t="s">
        <v>20</v>
      </c>
      <c r="B78" s="30"/>
      <c r="C78" s="2"/>
      <c r="D78" s="2"/>
      <c r="E78" s="2"/>
    </row>
    <row r="79" spans="1:8" ht="15.75" thickBot="1">
      <c r="A79" t="s">
        <v>15</v>
      </c>
      <c r="C79" s="2"/>
      <c r="D79" s="2"/>
      <c r="E79" s="2"/>
    </row>
    <row r="80" spans="1:8" ht="15.75" thickBot="1">
      <c r="A80" s="12" t="s">
        <v>0</v>
      </c>
      <c r="B80" s="12" t="s">
        <v>1</v>
      </c>
      <c r="C80" s="22" t="s">
        <v>17</v>
      </c>
      <c r="D80" s="10" t="s">
        <v>2</v>
      </c>
      <c r="E80" s="10" t="s">
        <v>3</v>
      </c>
      <c r="F80" s="10" t="s">
        <v>4</v>
      </c>
      <c r="G80" s="11" t="s">
        <v>5</v>
      </c>
      <c r="H80" s="93" t="s">
        <v>59</v>
      </c>
    </row>
    <row r="81" spans="1:17">
      <c r="A81" s="14" t="s">
        <v>7</v>
      </c>
      <c r="B81" s="16">
        <f t="shared" ref="B81:B85" si="13">SUM(C81:G81)</f>
        <v>0</v>
      </c>
      <c r="C81" s="25"/>
      <c r="D81" s="8"/>
      <c r="E81" s="8"/>
      <c r="F81" s="8"/>
      <c r="G81" s="26"/>
      <c r="H81" s="94"/>
    </row>
    <row r="82" spans="1:17">
      <c r="A82" s="14" t="s">
        <v>18</v>
      </c>
      <c r="B82" s="34">
        <f t="shared" si="13"/>
        <v>0</v>
      </c>
      <c r="C82" s="31"/>
      <c r="D82" s="32"/>
      <c r="E82" s="32"/>
      <c r="F82" s="32"/>
      <c r="G82" s="33"/>
      <c r="H82" s="98"/>
    </row>
    <row r="83" spans="1:17">
      <c r="A83" s="14" t="s">
        <v>19</v>
      </c>
      <c r="B83" s="16">
        <f t="shared" si="13"/>
        <v>0</v>
      </c>
      <c r="C83" s="25"/>
      <c r="D83" s="8"/>
      <c r="E83" s="8"/>
      <c r="F83" s="8"/>
      <c r="G83" s="26"/>
      <c r="H83" s="95"/>
    </row>
    <row r="84" spans="1:17" ht="15.75" thickBot="1">
      <c r="A84" s="17" t="s">
        <v>21</v>
      </c>
      <c r="B84" s="18">
        <f t="shared" si="13"/>
        <v>0</v>
      </c>
      <c r="C84" s="27"/>
      <c r="D84" s="28"/>
      <c r="E84" s="28"/>
      <c r="F84" s="28"/>
      <c r="G84" s="29"/>
      <c r="H84" s="95"/>
    </row>
    <row r="85" spans="1:17" ht="15.75" thickBot="1">
      <c r="A85" s="12" t="s">
        <v>16</v>
      </c>
      <c r="B85" s="7">
        <f t="shared" si="13"/>
        <v>0</v>
      </c>
      <c r="C85" s="19">
        <f>SUM(C81:C84)</f>
        <v>0</v>
      </c>
      <c r="D85" s="20">
        <f>SUM(D81:D84)</f>
        <v>0</v>
      </c>
      <c r="E85" s="20">
        <f>SUM(E81:E84)</f>
        <v>0</v>
      </c>
      <c r="F85" s="20">
        <f>SUM(F81:F84)</f>
        <v>0</v>
      </c>
      <c r="G85" s="21">
        <f>SUM(G81:G84)</f>
        <v>0</v>
      </c>
      <c r="H85" s="97" t="e">
        <f>(H81*B81+H83*B83+H84*B84)/B85</f>
        <v>#DIV/0!</v>
      </c>
    </row>
    <row r="88" spans="1:17">
      <c r="A88" s="65" t="s">
        <v>40</v>
      </c>
      <c r="B88" s="66"/>
      <c r="C88" s="66"/>
      <c r="D88" s="66"/>
      <c r="E88" s="66"/>
      <c r="F88" s="66"/>
      <c r="G88" s="66"/>
      <c r="H88" s="66"/>
      <c r="I88" s="66"/>
      <c r="J88" s="66"/>
      <c r="K88" s="66"/>
      <c r="L88" s="66"/>
      <c r="M88" s="66"/>
      <c r="N88" s="66"/>
      <c r="O88" s="66"/>
      <c r="P88" s="66"/>
    </row>
    <row r="90" spans="1:17">
      <c r="A90" s="6" t="s">
        <v>32</v>
      </c>
      <c r="J90" s="163" t="s">
        <v>157</v>
      </c>
      <c r="K90" s="164"/>
      <c r="L90" s="164"/>
      <c r="M90" s="164"/>
      <c r="N90" s="164"/>
      <c r="O90" s="164"/>
      <c r="P90" s="164"/>
      <c r="Q90" s="164"/>
    </row>
    <row r="91" spans="1:17">
      <c r="A91" t="s">
        <v>13</v>
      </c>
      <c r="B91" s="3"/>
      <c r="C91" s="1" t="s">
        <v>14</v>
      </c>
      <c r="D91" s="1"/>
      <c r="E91" s="1"/>
      <c r="J91" s="164" t="s">
        <v>13</v>
      </c>
      <c r="K91" s="165">
        <v>3</v>
      </c>
      <c r="L91" s="166" t="s">
        <v>14</v>
      </c>
      <c r="M91" s="164"/>
      <c r="N91" s="164"/>
      <c r="O91" s="164"/>
      <c r="P91" s="164"/>
      <c r="Q91" s="164"/>
    </row>
    <row r="92" spans="1:17" ht="15.75" thickBot="1">
      <c r="A92" t="s">
        <v>15</v>
      </c>
      <c r="C92" s="1"/>
      <c r="D92" s="1"/>
      <c r="E92" s="1"/>
      <c r="J92" s="164" t="s">
        <v>15</v>
      </c>
      <c r="K92" s="164"/>
      <c r="L92" s="166"/>
      <c r="M92" s="166"/>
      <c r="N92" s="166"/>
      <c r="O92" s="164"/>
      <c r="P92" s="164"/>
      <c r="Q92" s="164"/>
    </row>
    <row r="93" spans="1:17" ht="15.75" thickBot="1">
      <c r="A93" s="12" t="s">
        <v>0</v>
      </c>
      <c r="B93" s="12" t="s">
        <v>1</v>
      </c>
      <c r="C93" s="22" t="s">
        <v>17</v>
      </c>
      <c r="D93" s="10" t="s">
        <v>2</v>
      </c>
      <c r="E93" s="10" t="s">
        <v>3</v>
      </c>
      <c r="F93" s="10" t="s">
        <v>4</v>
      </c>
      <c r="G93" s="11" t="s">
        <v>5</v>
      </c>
      <c r="H93" s="93" t="s">
        <v>59</v>
      </c>
      <c r="J93" s="169" t="s">
        <v>0</v>
      </c>
      <c r="K93" s="169" t="s">
        <v>1</v>
      </c>
      <c r="L93" s="170" t="s">
        <v>17</v>
      </c>
      <c r="M93" s="171" t="s">
        <v>2</v>
      </c>
      <c r="N93" s="171" t="s">
        <v>3</v>
      </c>
      <c r="O93" s="171" t="s">
        <v>4</v>
      </c>
      <c r="P93" s="172" t="s">
        <v>5</v>
      </c>
      <c r="Q93" s="173" t="s">
        <v>59</v>
      </c>
    </row>
    <row r="94" spans="1:17">
      <c r="A94" s="13" t="s">
        <v>23</v>
      </c>
      <c r="B94" s="15">
        <f>SUM(C94:G94)</f>
        <v>0</v>
      </c>
      <c r="C94" s="23"/>
      <c r="D94" s="9"/>
      <c r="E94" s="9"/>
      <c r="F94" s="9"/>
      <c r="G94" s="24"/>
      <c r="H94" s="94"/>
      <c r="J94" s="199" t="s">
        <v>23</v>
      </c>
      <c r="K94" s="200">
        <f>SUM(L94:P94)</f>
        <v>500000</v>
      </c>
      <c r="L94" s="201">
        <v>500000</v>
      </c>
      <c r="M94" s="202">
        <v>0</v>
      </c>
      <c r="N94" s="202">
        <v>0</v>
      </c>
      <c r="O94" s="202"/>
      <c r="P94" s="203"/>
      <c r="Q94" s="179">
        <v>1</v>
      </c>
    </row>
    <row r="95" spans="1:17">
      <c r="A95" s="14" t="s">
        <v>24</v>
      </c>
      <c r="B95" s="16">
        <f t="shared" ref="B95:B98" si="14">SUM(C95:G95)</f>
        <v>0</v>
      </c>
      <c r="C95" s="25"/>
      <c r="D95" s="8"/>
      <c r="E95" s="8"/>
      <c r="F95" s="8"/>
      <c r="G95" s="26"/>
      <c r="H95" s="95"/>
      <c r="J95" s="174" t="s">
        <v>24</v>
      </c>
      <c r="K95" s="204">
        <f t="shared" ref="K95:K98" si="15">SUM(L95:P95)</f>
        <v>225000</v>
      </c>
      <c r="L95" s="205">
        <f>$L$94*0.15</f>
        <v>75000</v>
      </c>
      <c r="M95" s="186">
        <f>$L$94*0.15</f>
        <v>75000</v>
      </c>
      <c r="N95" s="186">
        <f>$L$94*0.15</f>
        <v>75000</v>
      </c>
      <c r="O95" s="186"/>
      <c r="P95" s="187"/>
      <c r="Q95" s="188">
        <v>0.8</v>
      </c>
    </row>
    <row r="96" spans="1:17">
      <c r="A96" s="14" t="s">
        <v>7</v>
      </c>
      <c r="B96" s="16">
        <f t="shared" si="14"/>
        <v>0</v>
      </c>
      <c r="C96" s="25"/>
      <c r="D96" s="8"/>
      <c r="E96" s="8"/>
      <c r="F96" s="8"/>
      <c r="G96" s="26"/>
      <c r="H96" s="95"/>
      <c r="J96" s="174" t="s">
        <v>7</v>
      </c>
      <c r="K96" s="204">
        <f t="shared" si="15"/>
        <v>250000</v>
      </c>
      <c r="L96" s="185">
        <v>250000</v>
      </c>
      <c r="M96" s="202">
        <v>0</v>
      </c>
      <c r="N96" s="202">
        <v>0</v>
      </c>
      <c r="O96" s="186"/>
      <c r="P96" s="187"/>
      <c r="Q96" s="188">
        <v>0.5</v>
      </c>
    </row>
    <row r="97" spans="1:17" ht="15.75" thickBot="1">
      <c r="A97" s="14" t="s">
        <v>25</v>
      </c>
      <c r="B97" s="16">
        <f t="shared" si="14"/>
        <v>0</v>
      </c>
      <c r="C97" s="25"/>
      <c r="D97" s="8"/>
      <c r="E97" s="8"/>
      <c r="F97" s="8"/>
      <c r="G97" s="26"/>
      <c r="H97" s="95"/>
      <c r="J97" s="174" t="s">
        <v>25</v>
      </c>
      <c r="K97" s="204">
        <f t="shared" si="15"/>
        <v>100000</v>
      </c>
      <c r="L97" s="185">
        <v>0</v>
      </c>
      <c r="M97" s="186">
        <v>50000</v>
      </c>
      <c r="N97" s="186">
        <v>50000</v>
      </c>
      <c r="O97" s="186"/>
      <c r="P97" s="187"/>
      <c r="Q97" s="188">
        <v>0.4</v>
      </c>
    </row>
    <row r="98" spans="1:17" ht="15.75" thickBot="1">
      <c r="A98" s="12" t="s">
        <v>16</v>
      </c>
      <c r="B98" s="7">
        <f t="shared" si="14"/>
        <v>0</v>
      </c>
      <c r="C98" s="19">
        <f>SUM(C94:C97)</f>
        <v>0</v>
      </c>
      <c r="D98" s="20">
        <f>SUM(D94:D97)</f>
        <v>0</v>
      </c>
      <c r="E98" s="20">
        <f>SUM(E94:E97)</f>
        <v>0</v>
      </c>
      <c r="F98" s="20">
        <f>SUM(F94:F97)</f>
        <v>0</v>
      </c>
      <c r="G98" s="21">
        <f>SUM(G94:G97)</f>
        <v>0</v>
      </c>
      <c r="H98" s="97" t="e">
        <f>(H94*B94+H95*B95+H96*B96+H97*B97)/B98</f>
        <v>#DIV/0!</v>
      </c>
      <c r="J98" s="169" t="s">
        <v>16</v>
      </c>
      <c r="K98" s="194">
        <f t="shared" si="15"/>
        <v>1075000</v>
      </c>
      <c r="L98" s="195">
        <f>SUM(L94:L97)</f>
        <v>825000</v>
      </c>
      <c r="M98" s="196">
        <f>SUM(M94:M97)</f>
        <v>125000</v>
      </c>
      <c r="N98" s="196">
        <f>SUM(N94:N97)</f>
        <v>125000</v>
      </c>
      <c r="O98" s="196">
        <f>SUM(O94:O97)</f>
        <v>0</v>
      </c>
      <c r="P98" s="197">
        <f>SUM(P94:P97)</f>
        <v>0</v>
      </c>
      <c r="Q98" s="198">
        <f>(Q94*K94+Q95*K95+Q96*K96+Q97*K97)/K98</f>
        <v>0.78604651162790695</v>
      </c>
    </row>
    <row r="101" spans="1:17">
      <c r="A101" s="6" t="s">
        <v>33</v>
      </c>
    </row>
    <row r="102" spans="1:17">
      <c r="A102" t="s">
        <v>13</v>
      </c>
      <c r="B102" s="3"/>
      <c r="C102" s="2" t="s">
        <v>14</v>
      </c>
      <c r="D102" s="2"/>
      <c r="E102" s="2"/>
    </row>
    <row r="103" spans="1:17" ht="15.75" thickBot="1">
      <c r="A103" t="s">
        <v>15</v>
      </c>
      <c r="C103" s="2"/>
      <c r="D103" s="2"/>
      <c r="E103" s="2"/>
    </row>
    <row r="104" spans="1:17" ht="15.75" thickBot="1">
      <c r="A104" s="12" t="s">
        <v>0</v>
      </c>
      <c r="B104" s="12" t="s">
        <v>1</v>
      </c>
      <c r="C104" s="22" t="s">
        <v>17</v>
      </c>
      <c r="D104" s="10" t="s">
        <v>2</v>
      </c>
      <c r="E104" s="10" t="s">
        <v>3</v>
      </c>
      <c r="F104" s="10" t="s">
        <v>4</v>
      </c>
      <c r="G104" s="11" t="s">
        <v>5</v>
      </c>
      <c r="H104" s="93" t="s">
        <v>59</v>
      </c>
    </row>
    <row r="105" spans="1:17">
      <c r="A105" s="13" t="s">
        <v>23</v>
      </c>
      <c r="B105" s="15">
        <f>SUM(C105:G105)</f>
        <v>0</v>
      </c>
      <c r="C105" s="23"/>
      <c r="D105" s="9"/>
      <c r="E105" s="9"/>
      <c r="F105" s="9"/>
      <c r="G105" s="24"/>
      <c r="H105" s="94"/>
    </row>
    <row r="106" spans="1:17">
      <c r="A106" s="14" t="s">
        <v>24</v>
      </c>
      <c r="B106" s="16">
        <f t="shared" ref="B106:B109" si="16">SUM(C106:G106)</f>
        <v>0</v>
      </c>
      <c r="C106" s="25"/>
      <c r="D106" s="8"/>
      <c r="E106" s="8"/>
      <c r="F106" s="8"/>
      <c r="G106" s="26"/>
      <c r="H106" s="95"/>
    </row>
    <row r="107" spans="1:17">
      <c r="A107" s="14" t="s">
        <v>7</v>
      </c>
      <c r="B107" s="16">
        <f t="shared" si="16"/>
        <v>0</v>
      </c>
      <c r="C107" s="25"/>
      <c r="D107" s="8"/>
      <c r="E107" s="8"/>
      <c r="F107" s="8"/>
      <c r="G107" s="26"/>
      <c r="H107" s="95"/>
    </row>
    <row r="108" spans="1:17" ht="15.75" thickBot="1">
      <c r="A108" s="14" t="s">
        <v>25</v>
      </c>
      <c r="B108" s="16">
        <f t="shared" si="16"/>
        <v>0</v>
      </c>
      <c r="C108" s="25"/>
      <c r="D108" s="8"/>
      <c r="E108" s="8"/>
      <c r="F108" s="8"/>
      <c r="G108" s="26"/>
      <c r="H108" s="95"/>
    </row>
    <row r="109" spans="1:17" ht="15.75" thickBot="1">
      <c r="A109" s="12" t="s">
        <v>16</v>
      </c>
      <c r="B109" s="7">
        <f t="shared" si="16"/>
        <v>0</v>
      </c>
      <c r="C109" s="19">
        <f>SUM(C105:C108)</f>
        <v>0</v>
      </c>
      <c r="D109" s="20">
        <f>SUM(D105:D108)</f>
        <v>0</v>
      </c>
      <c r="E109" s="20">
        <f>SUM(E105:E108)</f>
        <v>0</v>
      </c>
      <c r="F109" s="20">
        <f>SUM(F105:F108)</f>
        <v>0</v>
      </c>
      <c r="G109" s="21">
        <f>SUM(G105:G108)</f>
        <v>0</v>
      </c>
      <c r="H109" s="97" t="e">
        <f>(H105*B105+H106*B106+H107*B107+H108*B108)/B109</f>
        <v>#DIV/0!</v>
      </c>
    </row>
    <row r="112" spans="1:17">
      <c r="A112" s="6" t="s">
        <v>34</v>
      </c>
    </row>
    <row r="113" spans="1:8">
      <c r="A113" t="s">
        <v>13</v>
      </c>
      <c r="B113" s="3"/>
      <c r="C113" s="2" t="s">
        <v>14</v>
      </c>
      <c r="D113" s="2"/>
      <c r="E113" s="2"/>
    </row>
    <row r="114" spans="1:8" ht="15.75" thickBot="1">
      <c r="A114" t="s">
        <v>15</v>
      </c>
      <c r="C114" s="2"/>
      <c r="D114" s="2"/>
      <c r="E114" s="2"/>
    </row>
    <row r="115" spans="1:8" ht="15.75" thickBot="1">
      <c r="A115" s="12" t="s">
        <v>0</v>
      </c>
      <c r="B115" s="12" t="s">
        <v>1</v>
      </c>
      <c r="C115" s="22" t="s">
        <v>17</v>
      </c>
      <c r="D115" s="10" t="s">
        <v>2</v>
      </c>
      <c r="E115" s="10" t="s">
        <v>3</v>
      </c>
      <c r="F115" s="10" t="s">
        <v>4</v>
      </c>
      <c r="G115" s="11" t="s">
        <v>5</v>
      </c>
      <c r="H115" s="93" t="s">
        <v>59</v>
      </c>
    </row>
    <row r="116" spans="1:8">
      <c r="A116" s="13" t="s">
        <v>23</v>
      </c>
      <c r="B116" s="15">
        <f>SUM(C116:G116)</f>
        <v>0</v>
      </c>
      <c r="C116" s="23"/>
      <c r="D116" s="9"/>
      <c r="E116" s="9"/>
      <c r="F116" s="9"/>
      <c r="G116" s="24"/>
      <c r="H116" s="94"/>
    </row>
    <row r="117" spans="1:8">
      <c r="A117" s="14" t="s">
        <v>24</v>
      </c>
      <c r="B117" s="16">
        <f t="shared" ref="B117:B120" si="17">SUM(C117:G117)</f>
        <v>0</v>
      </c>
      <c r="C117" s="25"/>
      <c r="D117" s="8"/>
      <c r="E117" s="8"/>
      <c r="F117" s="8"/>
      <c r="G117" s="26"/>
      <c r="H117" s="95"/>
    </row>
    <row r="118" spans="1:8">
      <c r="A118" s="14" t="s">
        <v>7</v>
      </c>
      <c r="B118" s="16">
        <f t="shared" si="17"/>
        <v>0</v>
      </c>
      <c r="C118" s="25"/>
      <c r="D118" s="8"/>
      <c r="E118" s="8"/>
      <c r="F118" s="8"/>
      <c r="G118" s="26"/>
      <c r="H118" s="95"/>
    </row>
    <row r="119" spans="1:8" ht="15.75" thickBot="1">
      <c r="A119" s="14" t="s">
        <v>25</v>
      </c>
      <c r="B119" s="16">
        <f t="shared" si="17"/>
        <v>0</v>
      </c>
      <c r="C119" s="25"/>
      <c r="D119" s="8"/>
      <c r="E119" s="8"/>
      <c r="F119" s="8"/>
      <c r="G119" s="26"/>
      <c r="H119" s="95"/>
    </row>
    <row r="120" spans="1:8" ht="15.75" thickBot="1">
      <c r="A120" s="12" t="s">
        <v>16</v>
      </c>
      <c r="B120" s="7">
        <f t="shared" si="17"/>
        <v>0</v>
      </c>
      <c r="C120" s="19">
        <f>SUM(C116:C119)</f>
        <v>0</v>
      </c>
      <c r="D120" s="20">
        <f>SUM(D116:D119)</f>
        <v>0</v>
      </c>
      <c r="E120" s="20">
        <f>SUM(E116:E119)</f>
        <v>0</v>
      </c>
      <c r="F120" s="20">
        <f>SUM(F116:F119)</f>
        <v>0</v>
      </c>
      <c r="G120" s="21">
        <f>SUM(G116:G119)</f>
        <v>0</v>
      </c>
      <c r="H120" s="97" t="e">
        <f>(H116*B116+H117*B117+H118*B118+H119*B119)/B120</f>
        <v>#DIV/0!</v>
      </c>
    </row>
  </sheetData>
  <mergeCells count="7">
    <mergeCell ref="C62:G62"/>
    <mergeCell ref="C75:G75"/>
    <mergeCell ref="C49:G49"/>
    <mergeCell ref="L49:P49"/>
    <mergeCell ref="C12:G12"/>
    <mergeCell ref="C24:G24"/>
    <mergeCell ref="C36:G36"/>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A2:P211"/>
  <sheetViews>
    <sheetView workbookViewId="0">
      <selection activeCell="A192" sqref="A192:A194"/>
    </sheetView>
  </sheetViews>
  <sheetFormatPr defaultRowHeight="15"/>
  <cols>
    <col min="1" max="1" width="31.5703125" customWidth="1"/>
    <col min="2" max="6" width="14.42578125" customWidth="1"/>
    <col min="9" max="9" width="32.42578125" bestFit="1" customWidth="1"/>
  </cols>
  <sheetData>
    <row r="2" spans="1:16">
      <c r="A2" s="135" t="s">
        <v>143</v>
      </c>
    </row>
    <row r="3" spans="1:16">
      <c r="A3" s="135" t="s">
        <v>144</v>
      </c>
    </row>
    <row r="4" spans="1:16">
      <c r="A4" s="135" t="s">
        <v>133</v>
      </c>
    </row>
    <row r="5" spans="1:16">
      <c r="A5" s="135" t="s">
        <v>145</v>
      </c>
    </row>
    <row r="7" spans="1:16" s="39" customFormat="1" ht="18.75">
      <c r="A7" s="38" t="s">
        <v>28</v>
      </c>
      <c r="B7" s="38" t="str">
        <f>Introduction!B9</f>
        <v>EXAMPLE IP SOLUTION</v>
      </c>
      <c r="C7" s="38"/>
      <c r="D7" s="38"/>
      <c r="E7" s="38"/>
      <c r="F7" s="38"/>
      <c r="G7" s="38"/>
      <c r="H7" s="38"/>
      <c r="I7" s="38"/>
      <c r="J7" s="38"/>
      <c r="K7" s="38"/>
      <c r="L7" s="38"/>
      <c r="M7" s="38"/>
      <c r="N7" s="38"/>
      <c r="O7" s="38"/>
      <c r="P7" s="40"/>
    </row>
    <row r="9" spans="1:16">
      <c r="A9" s="88" t="s">
        <v>48</v>
      </c>
    </row>
    <row r="10" spans="1:16" ht="15.75" thickBot="1"/>
    <row r="11" spans="1:16">
      <c r="A11" s="208" t="s">
        <v>31</v>
      </c>
      <c r="B11" s="210" t="s">
        <v>30</v>
      </c>
      <c r="C11" s="211"/>
      <c r="D11" s="211"/>
      <c r="E11" s="211"/>
      <c r="F11" s="212"/>
      <c r="I11" s="208" t="s">
        <v>31</v>
      </c>
      <c r="J11" s="210" t="s">
        <v>35</v>
      </c>
      <c r="K11" s="211"/>
      <c r="L11" s="211"/>
      <c r="M11" s="211"/>
      <c r="N11" s="212"/>
    </row>
    <row r="12" spans="1:16" ht="15.75" thickBot="1">
      <c r="A12" s="209"/>
      <c r="B12" s="43">
        <f>Introduction!B11</f>
        <v>2017</v>
      </c>
      <c r="C12" s="44">
        <f>B12+1</f>
        <v>2018</v>
      </c>
      <c r="D12" s="44">
        <f>C12+1</f>
        <v>2019</v>
      </c>
      <c r="E12" s="44">
        <f>D12+1</f>
        <v>2020</v>
      </c>
      <c r="F12" s="45">
        <f>E12+1</f>
        <v>2021</v>
      </c>
      <c r="I12" s="209"/>
      <c r="J12" s="43">
        <f>Introduction!B11</f>
        <v>2017</v>
      </c>
      <c r="K12" s="44">
        <f>J12+1</f>
        <v>2018</v>
      </c>
      <c r="L12" s="44">
        <f>K12+1</f>
        <v>2019</v>
      </c>
      <c r="M12" s="44">
        <f>L12+1</f>
        <v>2020</v>
      </c>
      <c r="N12" s="45">
        <f>M12+1</f>
        <v>2021</v>
      </c>
    </row>
    <row r="13" spans="1:16" ht="15.75" thickBot="1">
      <c r="A13" s="49" t="s">
        <v>161</v>
      </c>
      <c r="B13" s="142">
        <f>SUM(B14:B16)</f>
        <v>1</v>
      </c>
      <c r="C13" s="143">
        <f>SUM(C14:C16)</f>
        <v>2</v>
      </c>
      <c r="D13" s="143">
        <f>SUM(D14:D16)</f>
        <v>2</v>
      </c>
      <c r="E13" s="143">
        <f>SUM(E14:E16)</f>
        <v>3</v>
      </c>
      <c r="F13" s="144">
        <f>SUM(F14:F16)</f>
        <v>3</v>
      </c>
      <c r="I13" s="49" t="s">
        <v>41</v>
      </c>
      <c r="J13" s="46">
        <f>SUM(J14:J16)</f>
        <v>1</v>
      </c>
      <c r="K13" s="47">
        <f>SUM(K14:K16)</f>
        <v>3</v>
      </c>
      <c r="L13" s="47">
        <f>SUM(L14:L16)</f>
        <v>5</v>
      </c>
      <c r="M13" s="47">
        <f>SUM(M14:M16)</f>
        <v>8</v>
      </c>
      <c r="N13" s="48">
        <f>SUM(N14:N16)</f>
        <v>11</v>
      </c>
    </row>
    <row r="14" spans="1:16">
      <c r="A14" s="41" t="str">
        <f>'Deal Model'!$A$12</f>
        <v>Mid-sized Elec. Utilities Utilities</v>
      </c>
      <c r="B14" s="138">
        <v>1</v>
      </c>
      <c r="C14" s="138">
        <v>1</v>
      </c>
      <c r="D14" s="138">
        <v>1</v>
      </c>
      <c r="E14" s="138">
        <v>2</v>
      </c>
      <c r="F14" s="139">
        <v>2</v>
      </c>
      <c r="I14" s="41" t="str">
        <f>'Deal Model'!$A$12</f>
        <v>Mid-sized Elec. Utilities Utilities</v>
      </c>
      <c r="J14" s="56">
        <f>B14</f>
        <v>1</v>
      </c>
      <c r="K14" s="57">
        <f>J14+C14</f>
        <v>2</v>
      </c>
      <c r="L14" s="57">
        <f t="shared" ref="L14:N14" si="0">K14+D14</f>
        <v>3</v>
      </c>
      <c r="M14" s="57">
        <f t="shared" si="0"/>
        <v>5</v>
      </c>
      <c r="N14" s="58">
        <f t="shared" si="0"/>
        <v>7</v>
      </c>
    </row>
    <row r="15" spans="1:16">
      <c r="A15" s="41" t="str">
        <f>'Deal Model'!$A$24</f>
        <v>Mid-sized Gas Utilities Utilities</v>
      </c>
      <c r="B15" s="138"/>
      <c r="C15" s="138">
        <v>1</v>
      </c>
      <c r="D15" s="138"/>
      <c r="E15" s="138">
        <v>1</v>
      </c>
      <c r="F15" s="139"/>
      <c r="I15" s="41" t="str">
        <f>'Deal Model'!$A$24</f>
        <v>Mid-sized Gas Utilities Utilities</v>
      </c>
      <c r="J15" s="59">
        <f>B15</f>
        <v>0</v>
      </c>
      <c r="K15" s="54">
        <f>J15+C15</f>
        <v>1</v>
      </c>
      <c r="L15" s="54">
        <f t="shared" ref="L15:N15" si="1">K15+D15</f>
        <v>1</v>
      </c>
      <c r="M15" s="54">
        <f t="shared" si="1"/>
        <v>2</v>
      </c>
      <c r="N15" s="60">
        <f t="shared" si="1"/>
        <v>2</v>
      </c>
    </row>
    <row r="16" spans="1:16" ht="15.75" thickBot="1">
      <c r="A16" s="42" t="str">
        <f>'Deal Model'!$A$36</f>
        <v>Large Utilities</v>
      </c>
      <c r="B16" s="140"/>
      <c r="C16" s="140"/>
      <c r="D16" s="140">
        <v>1</v>
      </c>
      <c r="E16" s="140"/>
      <c r="F16" s="141">
        <v>1</v>
      </c>
      <c r="I16" s="42" t="str">
        <f>'Deal Model'!$A$36</f>
        <v>Large Utilities</v>
      </c>
      <c r="J16" s="61">
        <f>B16</f>
        <v>0</v>
      </c>
      <c r="K16" s="55">
        <f>J16+C16</f>
        <v>0</v>
      </c>
      <c r="L16" s="55">
        <f t="shared" ref="L16:N16" si="2">K16+D16</f>
        <v>1</v>
      </c>
      <c r="M16" s="55">
        <f t="shared" si="2"/>
        <v>1</v>
      </c>
      <c r="N16" s="62">
        <f t="shared" si="2"/>
        <v>2</v>
      </c>
    </row>
    <row r="17" spans="1:14" ht="15.75" thickBot="1">
      <c r="A17" s="49" t="s">
        <v>162</v>
      </c>
      <c r="B17" s="142">
        <f>SUM(B18:B20)</f>
        <v>1</v>
      </c>
      <c r="C17" s="143">
        <f>SUM(C18:C20)</f>
        <v>2</v>
      </c>
      <c r="D17" s="143">
        <f>SUM(D18:D20)</f>
        <v>2</v>
      </c>
      <c r="E17" s="143">
        <f>SUM(E18:E20)</f>
        <v>3</v>
      </c>
      <c r="F17" s="144">
        <f>SUM(F18:F20)</f>
        <v>3</v>
      </c>
      <c r="I17" s="49" t="s">
        <v>42</v>
      </c>
      <c r="J17" s="46">
        <f>SUM(J18:J20)</f>
        <v>1</v>
      </c>
      <c r="K17" s="47">
        <f>SUM(K18:K20)</f>
        <v>3</v>
      </c>
      <c r="L17" s="47">
        <f>SUM(L18:L20)</f>
        <v>5</v>
      </c>
      <c r="M17" s="47">
        <f>SUM(M18:M20)</f>
        <v>8</v>
      </c>
      <c r="N17" s="48">
        <f>SUM(N18:N20)</f>
        <v>11</v>
      </c>
    </row>
    <row r="18" spans="1:14">
      <c r="A18" s="41" t="str">
        <f>'Deal Model'!$A$12</f>
        <v>Mid-sized Elec. Utilities Utilities</v>
      </c>
      <c r="B18" s="138">
        <v>1</v>
      </c>
      <c r="C18" s="138">
        <v>1</v>
      </c>
      <c r="D18" s="138">
        <v>1</v>
      </c>
      <c r="E18" s="138">
        <v>2</v>
      </c>
      <c r="F18" s="139">
        <v>2</v>
      </c>
      <c r="I18" s="41" t="str">
        <f>'Deal Model'!$A$12</f>
        <v>Mid-sized Elec. Utilities Utilities</v>
      </c>
      <c r="J18" s="56">
        <f>B18</f>
        <v>1</v>
      </c>
      <c r="K18" s="57">
        <f>J18+C18</f>
        <v>2</v>
      </c>
      <c r="L18" s="57">
        <f t="shared" ref="L18:L20" si="3">K18+D18</f>
        <v>3</v>
      </c>
      <c r="M18" s="57">
        <f t="shared" ref="M18:M20" si="4">L18+E18</f>
        <v>5</v>
      </c>
      <c r="N18" s="58">
        <f t="shared" ref="N18:N20" si="5">M18+F18</f>
        <v>7</v>
      </c>
    </row>
    <row r="19" spans="1:14">
      <c r="A19" s="41" t="str">
        <f>'Deal Model'!$A$24</f>
        <v>Mid-sized Gas Utilities Utilities</v>
      </c>
      <c r="B19" s="138"/>
      <c r="C19" s="138">
        <v>1</v>
      </c>
      <c r="D19" s="138"/>
      <c r="E19" s="138">
        <v>1</v>
      </c>
      <c r="F19" s="139"/>
      <c r="I19" s="41" t="str">
        <f>'Deal Model'!$A$24</f>
        <v>Mid-sized Gas Utilities Utilities</v>
      </c>
      <c r="J19" s="59">
        <f>B19</f>
        <v>0</v>
      </c>
      <c r="K19" s="54">
        <f>J19+C19</f>
        <v>1</v>
      </c>
      <c r="L19" s="54">
        <f t="shared" si="3"/>
        <v>1</v>
      </c>
      <c r="M19" s="54">
        <f t="shared" si="4"/>
        <v>2</v>
      </c>
      <c r="N19" s="60">
        <f t="shared" si="5"/>
        <v>2</v>
      </c>
    </row>
    <row r="20" spans="1:14" ht="15.75" thickBot="1">
      <c r="A20" s="42" t="str">
        <f>'Deal Model'!$A$36</f>
        <v>Large Utilities</v>
      </c>
      <c r="B20" s="140"/>
      <c r="C20" s="140"/>
      <c r="D20" s="140">
        <v>1</v>
      </c>
      <c r="E20" s="140"/>
      <c r="F20" s="141">
        <v>1</v>
      </c>
      <c r="I20" s="42" t="str">
        <f>'Deal Model'!$A$36</f>
        <v>Large Utilities</v>
      </c>
      <c r="J20" s="61">
        <f>B20</f>
        <v>0</v>
      </c>
      <c r="K20" s="55">
        <f>J20+C20</f>
        <v>0</v>
      </c>
      <c r="L20" s="55">
        <f t="shared" si="3"/>
        <v>1</v>
      </c>
      <c r="M20" s="55">
        <f t="shared" si="4"/>
        <v>1</v>
      </c>
      <c r="N20" s="62">
        <f t="shared" si="5"/>
        <v>2</v>
      </c>
    </row>
    <row r="21" spans="1:14" ht="15.75" thickBot="1">
      <c r="A21" s="49" t="s">
        <v>163</v>
      </c>
      <c r="B21" s="142">
        <f>SUM(B22:B24)</f>
        <v>0</v>
      </c>
      <c r="C21" s="143">
        <f>SUM(C22:C24)</f>
        <v>1</v>
      </c>
      <c r="D21" s="143">
        <f>SUM(D22:D24)</f>
        <v>2</v>
      </c>
      <c r="E21" s="143">
        <f>SUM(E22:E24)</f>
        <v>2</v>
      </c>
      <c r="F21" s="144">
        <f>SUM(F22:F24)</f>
        <v>3</v>
      </c>
      <c r="I21" s="49" t="s">
        <v>43</v>
      </c>
      <c r="J21" s="46">
        <f>SUM(J22:J24)</f>
        <v>0</v>
      </c>
      <c r="K21" s="47">
        <f>SUM(K22:K24)</f>
        <v>1</v>
      </c>
      <c r="L21" s="47">
        <f>SUM(L22:L24)</f>
        <v>3</v>
      </c>
      <c r="M21" s="47">
        <f>SUM(M22:M24)</f>
        <v>5</v>
      </c>
      <c r="N21" s="48">
        <f>SUM(N22:N24)</f>
        <v>8</v>
      </c>
    </row>
    <row r="22" spans="1:14">
      <c r="A22" s="41" t="str">
        <f>'Deal Model'!$A$12</f>
        <v>Mid-sized Elec. Utilities Utilities</v>
      </c>
      <c r="B22" s="147"/>
      <c r="C22" s="148">
        <v>1</v>
      </c>
      <c r="D22" s="148">
        <v>1</v>
      </c>
      <c r="E22" s="148">
        <v>1</v>
      </c>
      <c r="F22" s="149">
        <v>2</v>
      </c>
      <c r="I22" s="41" t="str">
        <f>'Deal Model'!$A$12</f>
        <v>Mid-sized Elec. Utilities Utilities</v>
      </c>
      <c r="J22" s="56">
        <f>B22</f>
        <v>0</v>
      </c>
      <c r="K22" s="57">
        <f>J22+C22</f>
        <v>1</v>
      </c>
      <c r="L22" s="57">
        <f t="shared" ref="L22:L24" si="6">K22+D22</f>
        <v>2</v>
      </c>
      <c r="M22" s="57">
        <f t="shared" ref="M22:M24" si="7">L22+E22</f>
        <v>3</v>
      </c>
      <c r="N22" s="58">
        <f t="shared" ref="N22:N24" si="8">M22+F22</f>
        <v>5</v>
      </c>
    </row>
    <row r="23" spans="1:14">
      <c r="A23" s="41" t="str">
        <f>'Deal Model'!$A$24</f>
        <v>Mid-sized Gas Utilities Utilities</v>
      </c>
      <c r="B23" s="145"/>
      <c r="C23" s="138"/>
      <c r="D23" s="138">
        <v>1</v>
      </c>
      <c r="E23" s="138"/>
      <c r="F23" s="139">
        <v>1</v>
      </c>
      <c r="I23" s="41" t="str">
        <f>'Deal Model'!$A$24</f>
        <v>Mid-sized Gas Utilities Utilities</v>
      </c>
      <c r="J23" s="59">
        <f>B23</f>
        <v>0</v>
      </c>
      <c r="K23" s="54">
        <f>J23+C23</f>
        <v>0</v>
      </c>
      <c r="L23" s="54">
        <f t="shared" si="6"/>
        <v>1</v>
      </c>
      <c r="M23" s="54">
        <f t="shared" si="7"/>
        <v>1</v>
      </c>
      <c r="N23" s="60">
        <f t="shared" si="8"/>
        <v>2</v>
      </c>
    </row>
    <row r="24" spans="1:14" ht="15.75" thickBot="1">
      <c r="A24" s="42" t="str">
        <f>'Deal Model'!$A$36</f>
        <v>Large Utilities</v>
      </c>
      <c r="B24" s="146"/>
      <c r="C24" s="140"/>
      <c r="D24" s="140"/>
      <c r="E24" s="140">
        <v>1</v>
      </c>
      <c r="F24" s="141"/>
      <c r="I24" s="42" t="str">
        <f>'Deal Model'!$A$36</f>
        <v>Large Utilities</v>
      </c>
      <c r="J24" s="61">
        <f>B24</f>
        <v>0</v>
      </c>
      <c r="K24" s="55">
        <f>J24+C24</f>
        <v>0</v>
      </c>
      <c r="L24" s="55">
        <f t="shared" si="6"/>
        <v>0</v>
      </c>
      <c r="M24" s="55">
        <f t="shared" si="7"/>
        <v>1</v>
      </c>
      <c r="N24" s="62">
        <f t="shared" si="8"/>
        <v>1</v>
      </c>
    </row>
    <row r="25" spans="1:14" ht="15.75" thickBot="1">
      <c r="A25" s="49" t="s">
        <v>164</v>
      </c>
      <c r="B25" s="142">
        <f>SUM(B26:B28)</f>
        <v>0</v>
      </c>
      <c r="C25" s="143">
        <f>SUM(C26:C28)</f>
        <v>0</v>
      </c>
      <c r="D25" s="143">
        <f>SUM(D26:D28)</f>
        <v>1</v>
      </c>
      <c r="E25" s="143">
        <f>SUM(E26:E28)</f>
        <v>2</v>
      </c>
      <c r="F25" s="144">
        <f>SUM(F26:F28)</f>
        <v>2</v>
      </c>
      <c r="I25" s="49" t="s">
        <v>44</v>
      </c>
      <c r="J25" s="46">
        <f>SUM(J26:J28)</f>
        <v>0</v>
      </c>
      <c r="K25" s="47">
        <f>SUM(K26:K28)</f>
        <v>0</v>
      </c>
      <c r="L25" s="47">
        <f>SUM(L26:L28)</f>
        <v>1</v>
      </c>
      <c r="M25" s="47">
        <f>SUM(M26:M28)</f>
        <v>3</v>
      </c>
      <c r="N25" s="48">
        <f>SUM(N26:N28)</f>
        <v>5</v>
      </c>
    </row>
    <row r="26" spans="1:14">
      <c r="A26" s="41" t="str">
        <f>'Deal Model'!$A$12</f>
        <v>Mid-sized Elec. Utilities Utilities</v>
      </c>
      <c r="B26" s="147"/>
      <c r="C26" s="148"/>
      <c r="D26" s="148">
        <v>1</v>
      </c>
      <c r="E26" s="148">
        <v>1</v>
      </c>
      <c r="F26" s="149">
        <v>1</v>
      </c>
      <c r="I26" s="41" t="str">
        <f>'Deal Model'!$A$12</f>
        <v>Mid-sized Elec. Utilities Utilities</v>
      </c>
      <c r="J26" s="56">
        <f>B26</f>
        <v>0</v>
      </c>
      <c r="K26" s="57">
        <f>J26+C26</f>
        <v>0</v>
      </c>
      <c r="L26" s="57">
        <f t="shared" ref="L26:L28" si="9">K26+D26</f>
        <v>1</v>
      </c>
      <c r="M26" s="57">
        <f t="shared" ref="M26:M28" si="10">L26+E26</f>
        <v>2</v>
      </c>
      <c r="N26" s="58">
        <f t="shared" ref="N26:N28" si="11">M26+F26</f>
        <v>3</v>
      </c>
    </row>
    <row r="27" spans="1:14">
      <c r="A27" s="41" t="str">
        <f>'Deal Model'!$A$24</f>
        <v>Mid-sized Gas Utilities Utilities</v>
      </c>
      <c r="B27" s="145"/>
      <c r="C27" s="138"/>
      <c r="D27" s="138"/>
      <c r="E27" s="138">
        <v>1</v>
      </c>
      <c r="F27" s="139"/>
      <c r="I27" s="41" t="str">
        <f>'Deal Model'!$A$24</f>
        <v>Mid-sized Gas Utilities Utilities</v>
      </c>
      <c r="J27" s="59">
        <f>B27</f>
        <v>0</v>
      </c>
      <c r="K27" s="54">
        <f>J27+C27</f>
        <v>0</v>
      </c>
      <c r="L27" s="54">
        <f t="shared" si="9"/>
        <v>0</v>
      </c>
      <c r="M27" s="54">
        <f t="shared" si="10"/>
        <v>1</v>
      </c>
      <c r="N27" s="60">
        <f t="shared" si="11"/>
        <v>1</v>
      </c>
    </row>
    <row r="28" spans="1:14" ht="15.75" thickBot="1">
      <c r="A28" s="42" t="str">
        <f>'Deal Model'!$A$36</f>
        <v>Large Utilities</v>
      </c>
      <c r="B28" s="146"/>
      <c r="C28" s="140"/>
      <c r="D28" s="140"/>
      <c r="E28" s="140"/>
      <c r="F28" s="141">
        <v>1</v>
      </c>
      <c r="I28" s="42" t="str">
        <f>'Deal Model'!$A$36</f>
        <v>Large Utilities</v>
      </c>
      <c r="J28" s="61">
        <f>B28</f>
        <v>0</v>
      </c>
      <c r="K28" s="55">
        <f>J28+C28</f>
        <v>0</v>
      </c>
      <c r="L28" s="55">
        <f t="shared" si="9"/>
        <v>0</v>
      </c>
      <c r="M28" s="55">
        <f t="shared" si="10"/>
        <v>0</v>
      </c>
      <c r="N28" s="62">
        <f t="shared" si="11"/>
        <v>1</v>
      </c>
    </row>
    <row r="29" spans="1:14" ht="15.75" thickBot="1">
      <c r="A29" s="49" t="s">
        <v>165</v>
      </c>
      <c r="B29" s="142">
        <f>SUM(B30:B32)</f>
        <v>0</v>
      </c>
      <c r="C29" s="143">
        <f>SUM(C30:C32)</f>
        <v>0</v>
      </c>
      <c r="D29" s="143">
        <f>SUM(D30:D32)</f>
        <v>0</v>
      </c>
      <c r="E29" s="143">
        <f>SUM(E30:E32)</f>
        <v>1</v>
      </c>
      <c r="F29" s="144">
        <f>SUM(F30:F32)</f>
        <v>2</v>
      </c>
      <c r="I29" s="49" t="s">
        <v>45</v>
      </c>
      <c r="J29" s="46">
        <f>SUM(J30:J32)</f>
        <v>0</v>
      </c>
      <c r="K29" s="47">
        <f>SUM(K30:K32)</f>
        <v>0</v>
      </c>
      <c r="L29" s="47">
        <f>SUM(L30:L32)</f>
        <v>0</v>
      </c>
      <c r="M29" s="47">
        <f>SUM(M30:M32)</f>
        <v>1</v>
      </c>
      <c r="N29" s="48">
        <f>SUM(N30:N32)</f>
        <v>3</v>
      </c>
    </row>
    <row r="30" spans="1:14">
      <c r="A30" s="41" t="str">
        <f>'Deal Model'!$A$12</f>
        <v>Mid-sized Elec. Utilities Utilities</v>
      </c>
      <c r="B30" s="147"/>
      <c r="C30" s="148"/>
      <c r="D30" s="148"/>
      <c r="E30" s="148">
        <v>1</v>
      </c>
      <c r="F30" s="149">
        <v>1</v>
      </c>
      <c r="I30" s="41" t="str">
        <f>'Deal Model'!$A$12</f>
        <v>Mid-sized Elec. Utilities Utilities</v>
      </c>
      <c r="J30" s="56">
        <f>B30</f>
        <v>0</v>
      </c>
      <c r="K30" s="57">
        <f>J30+C30</f>
        <v>0</v>
      </c>
      <c r="L30" s="57">
        <f t="shared" ref="L30:L32" si="12">K30+D30</f>
        <v>0</v>
      </c>
      <c r="M30" s="57">
        <f t="shared" ref="M30:M32" si="13">L30+E30</f>
        <v>1</v>
      </c>
      <c r="N30" s="58">
        <f t="shared" ref="N30:N32" si="14">M30+F30</f>
        <v>2</v>
      </c>
    </row>
    <row r="31" spans="1:14">
      <c r="A31" s="41" t="str">
        <f>'Deal Model'!$A$24</f>
        <v>Mid-sized Gas Utilities Utilities</v>
      </c>
      <c r="B31" s="145"/>
      <c r="C31" s="138"/>
      <c r="D31" s="138"/>
      <c r="E31" s="138"/>
      <c r="F31" s="139">
        <v>1</v>
      </c>
      <c r="I31" s="41" t="str">
        <f>'Deal Model'!$A$24</f>
        <v>Mid-sized Gas Utilities Utilities</v>
      </c>
      <c r="J31" s="59">
        <f>B31</f>
        <v>0</v>
      </c>
      <c r="K31" s="54">
        <f>J31+C31</f>
        <v>0</v>
      </c>
      <c r="L31" s="54">
        <f t="shared" si="12"/>
        <v>0</v>
      </c>
      <c r="M31" s="54">
        <f t="shared" si="13"/>
        <v>0</v>
      </c>
      <c r="N31" s="60">
        <f t="shared" si="14"/>
        <v>1</v>
      </c>
    </row>
    <row r="32" spans="1:14" ht="15.75" thickBot="1">
      <c r="A32" s="42" t="str">
        <f>'Deal Model'!$A$36</f>
        <v>Large Utilities</v>
      </c>
      <c r="B32" s="146"/>
      <c r="C32" s="140"/>
      <c r="D32" s="140"/>
      <c r="E32" s="140"/>
      <c r="F32" s="141"/>
      <c r="I32" s="42" t="str">
        <f>'Deal Model'!$A$36</f>
        <v>Large Utilities</v>
      </c>
      <c r="J32" s="61">
        <f>B32</f>
        <v>0</v>
      </c>
      <c r="K32" s="55">
        <f>J32+C32</f>
        <v>0</v>
      </c>
      <c r="L32" s="55">
        <f t="shared" si="12"/>
        <v>0</v>
      </c>
      <c r="M32" s="55">
        <f t="shared" si="13"/>
        <v>0</v>
      </c>
      <c r="N32" s="62">
        <f t="shared" si="14"/>
        <v>0</v>
      </c>
    </row>
    <row r="33" spans="1:14" ht="15.75" thickBot="1">
      <c r="A33" s="77" t="s">
        <v>46</v>
      </c>
      <c r="B33" s="150">
        <f>B29+B25+B21+B17+B13</f>
        <v>2</v>
      </c>
      <c r="C33" s="151">
        <f t="shared" ref="C33:F33" si="15">C29+C25+C21+C17+C13</f>
        <v>5</v>
      </c>
      <c r="D33" s="151">
        <f t="shared" si="15"/>
        <v>7</v>
      </c>
      <c r="E33" s="151">
        <f t="shared" si="15"/>
        <v>11</v>
      </c>
      <c r="F33" s="152">
        <f t="shared" si="15"/>
        <v>13</v>
      </c>
      <c r="I33" s="84" t="s">
        <v>47</v>
      </c>
      <c r="J33" s="81">
        <f>J29+J25+J21+J17+J13</f>
        <v>2</v>
      </c>
      <c r="K33" s="82">
        <f t="shared" ref="K33:N33" si="16">K29+K25+K21+K17+K13</f>
        <v>7</v>
      </c>
      <c r="L33" s="82">
        <f t="shared" si="16"/>
        <v>14</v>
      </c>
      <c r="M33" s="82">
        <f t="shared" si="16"/>
        <v>25</v>
      </c>
      <c r="N33" s="83">
        <f t="shared" si="16"/>
        <v>38</v>
      </c>
    </row>
    <row r="34" spans="1:14">
      <c r="A34" s="160" t="s">
        <v>146</v>
      </c>
      <c r="B34" s="159"/>
      <c r="C34" s="159"/>
      <c r="D34" s="159"/>
      <c r="E34" s="159"/>
      <c r="F34" s="159"/>
    </row>
    <row r="36" spans="1:14">
      <c r="A36" s="88" t="s">
        <v>36</v>
      </c>
    </row>
    <row r="37" spans="1:14" ht="15.75" thickBot="1"/>
    <row r="38" spans="1:14">
      <c r="A38" s="208" t="s">
        <v>31</v>
      </c>
      <c r="B38" s="210" t="s">
        <v>37</v>
      </c>
      <c r="C38" s="211"/>
      <c r="D38" s="211"/>
      <c r="E38" s="211"/>
      <c r="F38" s="212"/>
    </row>
    <row r="39" spans="1:14" ht="15.75" thickBot="1">
      <c r="A39" s="209"/>
      <c r="B39" s="43">
        <f>Introduction!B11</f>
        <v>2017</v>
      </c>
      <c r="C39" s="44">
        <f>B39+1</f>
        <v>2018</v>
      </c>
      <c r="D39" s="44">
        <f>C39+1</f>
        <v>2019</v>
      </c>
      <c r="E39" s="44">
        <f>D39+1</f>
        <v>2020</v>
      </c>
      <c r="F39" s="45">
        <f>E39+1</f>
        <v>2021</v>
      </c>
    </row>
    <row r="40" spans="1:14" ht="15.75" thickBot="1">
      <c r="A40" s="49" t="s">
        <v>161</v>
      </c>
      <c r="B40" s="74">
        <f>SUM(B41:B43)</f>
        <v>1400000</v>
      </c>
      <c r="C40" s="75">
        <f>SUM(C41:C43)</f>
        <v>3050000</v>
      </c>
      <c r="D40" s="75">
        <f>SUM(D41:D43)</f>
        <v>7050000</v>
      </c>
      <c r="E40" s="75">
        <f>SUM(E41:E43)</f>
        <v>4450000</v>
      </c>
      <c r="F40" s="76">
        <f>SUM(F41:F43)</f>
        <v>8450000</v>
      </c>
    </row>
    <row r="41" spans="1:14">
      <c r="A41" s="41" t="str">
        <f>'Deal Model'!$A$12</f>
        <v>Mid-sized Elec. Utilities Utilities</v>
      </c>
      <c r="B41" s="69">
        <f>B14*'Deal Model'!$B$21</f>
        <v>1400000</v>
      </c>
      <c r="C41" s="70">
        <f>C14*'Deal Model'!$B$21</f>
        <v>1400000</v>
      </c>
      <c r="D41" s="70">
        <f>D14*'Deal Model'!$B$21</f>
        <v>1400000</v>
      </c>
      <c r="E41" s="70">
        <f>E14*'Deal Model'!$B$21</f>
        <v>2800000</v>
      </c>
      <c r="F41" s="71">
        <f>F14*'Deal Model'!$B$21</f>
        <v>2800000</v>
      </c>
      <c r="G41" t="s">
        <v>50</v>
      </c>
    </row>
    <row r="42" spans="1:14">
      <c r="A42" s="41" t="str">
        <f>'Deal Model'!$A$24</f>
        <v>Mid-sized Gas Utilities Utilities</v>
      </c>
      <c r="B42" s="72">
        <f>B15*'Deal Model'!$B$33</f>
        <v>0</v>
      </c>
      <c r="C42" s="50">
        <f>C15*'Deal Model'!$B$33</f>
        <v>1650000</v>
      </c>
      <c r="D42" s="50">
        <f>D15*'Deal Model'!$B$33</f>
        <v>0</v>
      </c>
      <c r="E42" s="50">
        <f>E15*'Deal Model'!$B$33</f>
        <v>1650000</v>
      </c>
      <c r="F42" s="51">
        <f>F15*'Deal Model'!$B$33</f>
        <v>0</v>
      </c>
      <c r="G42" t="s">
        <v>50</v>
      </c>
    </row>
    <row r="43" spans="1:14" ht="15.75" thickBot="1">
      <c r="A43" s="42" t="str">
        <f>'Deal Model'!$A$36</f>
        <v>Large Utilities</v>
      </c>
      <c r="B43" s="73">
        <f>B16*'Deal Model'!$B$45</f>
        <v>0</v>
      </c>
      <c r="C43" s="52">
        <f>C16*'Deal Model'!$B$45</f>
        <v>0</v>
      </c>
      <c r="D43" s="52">
        <f>D16*'Deal Model'!$B$45</f>
        <v>5650000</v>
      </c>
      <c r="E43" s="52">
        <f>E16*'Deal Model'!$B$45</f>
        <v>0</v>
      </c>
      <c r="F43" s="53">
        <f>F16*'Deal Model'!$B$45</f>
        <v>5650000</v>
      </c>
      <c r="G43" t="s">
        <v>50</v>
      </c>
    </row>
    <row r="44" spans="1:14" ht="15.75" thickBot="1">
      <c r="A44" s="49" t="s">
        <v>162</v>
      </c>
      <c r="B44" s="74">
        <f>SUM(B45:B47)</f>
        <v>1400000</v>
      </c>
      <c r="C44" s="75">
        <f>SUM(C45:C47)</f>
        <v>3050000</v>
      </c>
      <c r="D44" s="75">
        <f>SUM(D45:D47)</f>
        <v>7050000</v>
      </c>
      <c r="E44" s="75">
        <f>SUM(E45:E47)</f>
        <v>4450000</v>
      </c>
      <c r="F44" s="76">
        <f>SUM(F45:F47)</f>
        <v>8450000</v>
      </c>
    </row>
    <row r="45" spans="1:14">
      <c r="A45" s="41" t="str">
        <f>'Deal Model'!$A$12</f>
        <v>Mid-sized Elec. Utilities Utilities</v>
      </c>
      <c r="B45" s="69">
        <f>B18*'Deal Model'!$B$21</f>
        <v>1400000</v>
      </c>
      <c r="C45" s="70">
        <f>C18*'Deal Model'!$B$21</f>
        <v>1400000</v>
      </c>
      <c r="D45" s="70">
        <f>D18*'Deal Model'!$B$21</f>
        <v>1400000</v>
      </c>
      <c r="E45" s="70">
        <f>E18*'Deal Model'!$B$21</f>
        <v>2800000</v>
      </c>
      <c r="F45" s="71">
        <f>F18*'Deal Model'!$B$21</f>
        <v>2800000</v>
      </c>
      <c r="G45" t="s">
        <v>50</v>
      </c>
    </row>
    <row r="46" spans="1:14">
      <c r="A46" s="41" t="str">
        <f>'Deal Model'!$A$24</f>
        <v>Mid-sized Gas Utilities Utilities</v>
      </c>
      <c r="B46" s="72">
        <f>B19*'Deal Model'!$B$33</f>
        <v>0</v>
      </c>
      <c r="C46" s="50">
        <f>C19*'Deal Model'!$B$33</f>
        <v>1650000</v>
      </c>
      <c r="D46" s="50">
        <f>D19*'Deal Model'!$B$33</f>
        <v>0</v>
      </c>
      <c r="E46" s="50">
        <f>E19*'Deal Model'!$B$33</f>
        <v>1650000</v>
      </c>
      <c r="F46" s="51">
        <f>F19*'Deal Model'!$B$33</f>
        <v>0</v>
      </c>
      <c r="G46" t="s">
        <v>50</v>
      </c>
    </row>
    <row r="47" spans="1:14" ht="15.75" thickBot="1">
      <c r="A47" s="42" t="str">
        <f>'Deal Model'!$A$36</f>
        <v>Large Utilities</v>
      </c>
      <c r="B47" s="73">
        <f>B20*'Deal Model'!$B$45</f>
        <v>0</v>
      </c>
      <c r="C47" s="52">
        <f>C20*'Deal Model'!$B$45</f>
        <v>0</v>
      </c>
      <c r="D47" s="52">
        <f>D20*'Deal Model'!$B$45</f>
        <v>5650000</v>
      </c>
      <c r="E47" s="52">
        <f>E20*'Deal Model'!$B$45</f>
        <v>0</v>
      </c>
      <c r="F47" s="53">
        <f>F20*'Deal Model'!$B$45</f>
        <v>5650000</v>
      </c>
      <c r="G47" t="s">
        <v>50</v>
      </c>
    </row>
    <row r="48" spans="1:14" ht="15.75" thickBot="1">
      <c r="A48" s="49" t="s">
        <v>163</v>
      </c>
      <c r="B48" s="74">
        <f>SUM(B49:B51)</f>
        <v>0</v>
      </c>
      <c r="C48" s="75">
        <f>SUM(C49:C51)</f>
        <v>1400000</v>
      </c>
      <c r="D48" s="75">
        <f>SUM(D49:D51)</f>
        <v>3050000</v>
      </c>
      <c r="E48" s="75">
        <f>SUM(E49:E51)</f>
        <v>7050000</v>
      </c>
      <c r="F48" s="76">
        <f>SUM(F49:F51)</f>
        <v>4450000</v>
      </c>
    </row>
    <row r="49" spans="1:7">
      <c r="A49" s="41" t="str">
        <f>'Deal Model'!$A$12</f>
        <v>Mid-sized Elec. Utilities Utilities</v>
      </c>
      <c r="B49" s="69">
        <f>B22*'Deal Model'!$B$21</f>
        <v>0</v>
      </c>
      <c r="C49" s="70">
        <f>C22*'Deal Model'!$B$21</f>
        <v>1400000</v>
      </c>
      <c r="D49" s="70">
        <f>D22*'Deal Model'!$B$21</f>
        <v>1400000</v>
      </c>
      <c r="E49" s="70">
        <f>E22*'Deal Model'!$B$21</f>
        <v>1400000</v>
      </c>
      <c r="F49" s="71">
        <f>F22*'Deal Model'!$B$21</f>
        <v>2800000</v>
      </c>
      <c r="G49" t="s">
        <v>50</v>
      </c>
    </row>
    <row r="50" spans="1:7">
      <c r="A50" s="41" t="str">
        <f>'Deal Model'!$A$24</f>
        <v>Mid-sized Gas Utilities Utilities</v>
      </c>
      <c r="B50" s="72">
        <f>B23*'Deal Model'!$B$33</f>
        <v>0</v>
      </c>
      <c r="C50" s="50">
        <f>C23*'Deal Model'!$B$33</f>
        <v>0</v>
      </c>
      <c r="D50" s="50">
        <f>D23*'Deal Model'!$B$33</f>
        <v>1650000</v>
      </c>
      <c r="E50" s="50">
        <f>E23*'Deal Model'!$B$33</f>
        <v>0</v>
      </c>
      <c r="F50" s="51">
        <f>F23*'Deal Model'!$B$33</f>
        <v>1650000</v>
      </c>
      <c r="G50" t="s">
        <v>50</v>
      </c>
    </row>
    <row r="51" spans="1:7" ht="15.75" thickBot="1">
      <c r="A51" s="42" t="str">
        <f>'Deal Model'!$A$36</f>
        <v>Large Utilities</v>
      </c>
      <c r="B51" s="73">
        <f>B24*'Deal Model'!$B$45</f>
        <v>0</v>
      </c>
      <c r="C51" s="52">
        <f>C24*'Deal Model'!$B$45</f>
        <v>0</v>
      </c>
      <c r="D51" s="52">
        <f>D24*'Deal Model'!$B$45</f>
        <v>0</v>
      </c>
      <c r="E51" s="52">
        <f>E24*'Deal Model'!$B$45</f>
        <v>5650000</v>
      </c>
      <c r="F51" s="53">
        <f>F24*'Deal Model'!$B$45</f>
        <v>0</v>
      </c>
      <c r="G51" t="s">
        <v>50</v>
      </c>
    </row>
    <row r="52" spans="1:7" ht="15.75" thickBot="1">
      <c r="A52" s="49" t="s">
        <v>164</v>
      </c>
      <c r="B52" s="74">
        <f>SUM(B53:B55)</f>
        <v>0</v>
      </c>
      <c r="C52" s="75">
        <f>SUM(C53:C55)</f>
        <v>0</v>
      </c>
      <c r="D52" s="75">
        <f>SUM(D53:D55)</f>
        <v>1400000</v>
      </c>
      <c r="E52" s="75">
        <f>SUM(E53:E55)</f>
        <v>3050000</v>
      </c>
      <c r="F52" s="76">
        <f>SUM(F53:F55)</f>
        <v>7050000</v>
      </c>
    </row>
    <row r="53" spans="1:7">
      <c r="A53" s="41" t="str">
        <f>'Deal Model'!$A$12</f>
        <v>Mid-sized Elec. Utilities Utilities</v>
      </c>
      <c r="B53" s="69">
        <f>B26*'Deal Model'!$B$21</f>
        <v>0</v>
      </c>
      <c r="C53" s="70">
        <f>C26*'Deal Model'!$B$21</f>
        <v>0</v>
      </c>
      <c r="D53" s="70">
        <f>D26*'Deal Model'!$B$21</f>
        <v>1400000</v>
      </c>
      <c r="E53" s="70">
        <f>E26*'Deal Model'!$B$21</f>
        <v>1400000</v>
      </c>
      <c r="F53" s="71">
        <f>F26*'Deal Model'!$B$21</f>
        <v>1400000</v>
      </c>
      <c r="G53" t="s">
        <v>50</v>
      </c>
    </row>
    <row r="54" spans="1:7">
      <c r="A54" s="41" t="str">
        <f>'Deal Model'!$A$24</f>
        <v>Mid-sized Gas Utilities Utilities</v>
      </c>
      <c r="B54" s="72">
        <f>B27*'Deal Model'!$B$33</f>
        <v>0</v>
      </c>
      <c r="C54" s="50">
        <f>C27*'Deal Model'!$B$33</f>
        <v>0</v>
      </c>
      <c r="D54" s="50">
        <f>D27*'Deal Model'!$B$33</f>
        <v>0</v>
      </c>
      <c r="E54" s="50">
        <f>E27*'Deal Model'!$B$33</f>
        <v>1650000</v>
      </c>
      <c r="F54" s="51">
        <f>F27*'Deal Model'!$B$33</f>
        <v>0</v>
      </c>
      <c r="G54" t="s">
        <v>50</v>
      </c>
    </row>
    <row r="55" spans="1:7" ht="15.75" thickBot="1">
      <c r="A55" s="42" t="str">
        <f>'Deal Model'!$A$36</f>
        <v>Large Utilities</v>
      </c>
      <c r="B55" s="73">
        <f>B28*'Deal Model'!$B$45</f>
        <v>0</v>
      </c>
      <c r="C55" s="52">
        <f>C28*'Deal Model'!$B$45</f>
        <v>0</v>
      </c>
      <c r="D55" s="52">
        <f>D28*'Deal Model'!$B$45</f>
        <v>0</v>
      </c>
      <c r="E55" s="52">
        <f>E28*'Deal Model'!$B$45</f>
        <v>0</v>
      </c>
      <c r="F55" s="53">
        <f>F28*'Deal Model'!$B$45</f>
        <v>5650000</v>
      </c>
      <c r="G55" t="s">
        <v>50</v>
      </c>
    </row>
    <row r="56" spans="1:7" ht="15.75" thickBot="1">
      <c r="A56" s="49" t="s">
        <v>165</v>
      </c>
      <c r="B56" s="74">
        <f>SUM(B57:B59)</f>
        <v>0</v>
      </c>
      <c r="C56" s="75">
        <f>SUM(C57:C59)</f>
        <v>0</v>
      </c>
      <c r="D56" s="75">
        <f>SUM(D57:D59)</f>
        <v>0</v>
      </c>
      <c r="E56" s="75">
        <f>SUM(E57:E59)</f>
        <v>1400000</v>
      </c>
      <c r="F56" s="76">
        <f>SUM(F57:F59)</f>
        <v>3050000</v>
      </c>
    </row>
    <row r="57" spans="1:7">
      <c r="A57" s="41" t="str">
        <f>'Deal Model'!$A$12</f>
        <v>Mid-sized Elec. Utilities Utilities</v>
      </c>
      <c r="B57" s="69">
        <f>B30*'Deal Model'!$B$21</f>
        <v>0</v>
      </c>
      <c r="C57" s="70">
        <f>C30*'Deal Model'!$B$21</f>
        <v>0</v>
      </c>
      <c r="D57" s="70">
        <f>D30*'Deal Model'!$B$21</f>
        <v>0</v>
      </c>
      <c r="E57" s="70">
        <f>E30*'Deal Model'!$B$21</f>
        <v>1400000</v>
      </c>
      <c r="F57" s="71">
        <f>F30*'Deal Model'!$B$21</f>
        <v>1400000</v>
      </c>
      <c r="G57" t="s">
        <v>50</v>
      </c>
    </row>
    <row r="58" spans="1:7">
      <c r="A58" s="41" t="str">
        <f>'Deal Model'!$A$24</f>
        <v>Mid-sized Gas Utilities Utilities</v>
      </c>
      <c r="B58" s="72">
        <f>B31*'Deal Model'!$B$33</f>
        <v>0</v>
      </c>
      <c r="C58" s="50">
        <f>C31*'Deal Model'!$B$33</f>
        <v>0</v>
      </c>
      <c r="D58" s="50">
        <f>D31*'Deal Model'!$B$33</f>
        <v>0</v>
      </c>
      <c r="E58" s="50">
        <f>E31*'Deal Model'!$B$33</f>
        <v>0</v>
      </c>
      <c r="F58" s="51">
        <f>F31*'Deal Model'!$B$33</f>
        <v>1650000</v>
      </c>
      <c r="G58" t="s">
        <v>50</v>
      </c>
    </row>
    <row r="59" spans="1:7" ht="15.75" thickBot="1">
      <c r="A59" s="42" t="str">
        <f>'Deal Model'!$A$36</f>
        <v>Large Utilities</v>
      </c>
      <c r="B59" s="73">
        <f>B32*'Deal Model'!$B$45</f>
        <v>0</v>
      </c>
      <c r="C59" s="52">
        <f>C32*'Deal Model'!$B$45</f>
        <v>0</v>
      </c>
      <c r="D59" s="52">
        <f>D32*'Deal Model'!$B$45</f>
        <v>0</v>
      </c>
      <c r="E59" s="52">
        <f>E32*'Deal Model'!$B$45</f>
        <v>0</v>
      </c>
      <c r="F59" s="53">
        <f>F32*'Deal Model'!$B$45</f>
        <v>0</v>
      </c>
      <c r="G59" t="s">
        <v>50</v>
      </c>
    </row>
    <row r="60" spans="1:7" ht="15.75" thickBot="1">
      <c r="A60" s="77" t="s">
        <v>49</v>
      </c>
      <c r="B60" s="78">
        <f>B56+B52+B48+B44+B40</f>
        <v>2800000</v>
      </c>
      <c r="C60" s="79">
        <f t="shared" ref="C60:F60" si="17">C56+C52+C48+C44+C40</f>
        <v>7500000</v>
      </c>
      <c r="D60" s="79">
        <f t="shared" si="17"/>
        <v>18550000</v>
      </c>
      <c r="E60" s="79">
        <f t="shared" si="17"/>
        <v>20400000</v>
      </c>
      <c r="F60" s="80">
        <f t="shared" si="17"/>
        <v>31450000</v>
      </c>
    </row>
    <row r="63" spans="1:7">
      <c r="A63" s="88" t="s">
        <v>51</v>
      </c>
    </row>
    <row r="64" spans="1:7" ht="15.75" thickBot="1"/>
    <row r="65" spans="1:6">
      <c r="A65" s="208" t="s">
        <v>31</v>
      </c>
      <c r="B65" s="210" t="s">
        <v>52</v>
      </c>
      <c r="C65" s="211"/>
      <c r="D65" s="211"/>
      <c r="E65" s="211"/>
      <c r="F65" s="212"/>
    </row>
    <row r="66" spans="1:6" ht="15.75" thickBot="1">
      <c r="A66" s="209"/>
      <c r="B66" s="43">
        <f>Introduction!$B$11</f>
        <v>2017</v>
      </c>
      <c r="C66" s="44">
        <f>B66+1</f>
        <v>2018</v>
      </c>
      <c r="D66" s="44">
        <f>C66+1</f>
        <v>2019</v>
      </c>
      <c r="E66" s="44">
        <f>D66+1</f>
        <v>2020</v>
      </c>
      <c r="F66" s="45">
        <f>E66+1</f>
        <v>2021</v>
      </c>
    </row>
    <row r="67" spans="1:6" ht="15.75" thickBot="1">
      <c r="A67" s="49" t="s">
        <v>161</v>
      </c>
      <c r="B67" s="74">
        <f>SUM(B68:B70)</f>
        <v>680000</v>
      </c>
      <c r="C67" s="75">
        <f>SUM(C68:C70)</f>
        <v>2110000</v>
      </c>
      <c r="D67" s="75">
        <f>SUM(D68:D70)</f>
        <v>3140000</v>
      </c>
      <c r="E67" s="75">
        <f>SUM(E68:E70)</f>
        <v>4700000</v>
      </c>
      <c r="F67" s="76">
        <f>SUM(F68:F70)</f>
        <v>4510000</v>
      </c>
    </row>
    <row r="68" spans="1:6">
      <c r="A68" s="41" t="str">
        <f>'Deal Model'!$A$12</f>
        <v>Mid-sized Elec. Utilities Utilities</v>
      </c>
      <c r="B68" s="69">
        <f>B96+B120+B144+B168+B192</f>
        <v>680000</v>
      </c>
      <c r="C68" s="70">
        <f t="shared" ref="C68:F68" si="18">C96+C120+C144+C168+C192</f>
        <v>860000</v>
      </c>
      <c r="D68" s="70">
        <f t="shared" si="18"/>
        <v>1040000</v>
      </c>
      <c r="E68" s="70">
        <f t="shared" si="18"/>
        <v>1900000</v>
      </c>
      <c r="F68" s="71">
        <f t="shared" si="18"/>
        <v>2260000</v>
      </c>
    </row>
    <row r="69" spans="1:6">
      <c r="A69" s="41" t="str">
        <f>'Deal Model'!$A$24</f>
        <v>Mid-sized Gas Utilities Utilities</v>
      </c>
      <c r="B69" s="72">
        <f t="shared" ref="B69:F69" si="19">B97+B121+B145+B169+B193</f>
        <v>0</v>
      </c>
      <c r="C69" s="50">
        <f t="shared" si="19"/>
        <v>1250000</v>
      </c>
      <c r="D69" s="50">
        <f t="shared" si="19"/>
        <v>200000</v>
      </c>
      <c r="E69" s="50">
        <f t="shared" si="19"/>
        <v>1450000</v>
      </c>
      <c r="F69" s="51">
        <f t="shared" si="19"/>
        <v>1450000</v>
      </c>
    </row>
    <row r="70" spans="1:6" ht="15.75" thickBot="1">
      <c r="A70" s="42" t="str">
        <f>'Deal Model'!$A$36</f>
        <v>Large Utilities</v>
      </c>
      <c r="B70" s="73">
        <f t="shared" ref="B70:F70" si="20">B98+B122+B146+B170+B194</f>
        <v>0</v>
      </c>
      <c r="C70" s="52">
        <f t="shared" si="20"/>
        <v>0</v>
      </c>
      <c r="D70" s="52">
        <f t="shared" si="20"/>
        <v>1900000</v>
      </c>
      <c r="E70" s="52">
        <f t="shared" si="20"/>
        <v>1350000</v>
      </c>
      <c r="F70" s="53">
        <f t="shared" si="20"/>
        <v>800000</v>
      </c>
    </row>
    <row r="71" spans="1:6" ht="15.75" thickBot="1">
      <c r="A71" s="49" t="s">
        <v>162</v>
      </c>
      <c r="B71" s="85">
        <f>SUM(B72:B74)</f>
        <v>680000</v>
      </c>
      <c r="C71" s="86">
        <f>SUM(C72:C74)</f>
        <v>2110000</v>
      </c>
      <c r="D71" s="86">
        <f>SUM(D72:D74)</f>
        <v>3140000</v>
      </c>
      <c r="E71" s="86">
        <f>SUM(E72:E74)</f>
        <v>4700000</v>
      </c>
      <c r="F71" s="87">
        <f>SUM(F72:F74)</f>
        <v>4510000</v>
      </c>
    </row>
    <row r="72" spans="1:6">
      <c r="A72" s="41" t="str">
        <f>'Deal Model'!$A$12</f>
        <v>Mid-sized Elec. Utilities Utilities</v>
      </c>
      <c r="B72" s="69">
        <f>B100+B124+B148+B172+B196</f>
        <v>680000</v>
      </c>
      <c r="C72" s="70">
        <f t="shared" ref="C72:F72" si="21">C100+C124+C148+C172+C196</f>
        <v>860000</v>
      </c>
      <c r="D72" s="70">
        <f t="shared" si="21"/>
        <v>1040000</v>
      </c>
      <c r="E72" s="70">
        <f t="shared" si="21"/>
        <v>1900000</v>
      </c>
      <c r="F72" s="71">
        <f t="shared" si="21"/>
        <v>2260000</v>
      </c>
    </row>
    <row r="73" spans="1:6">
      <c r="A73" s="41" t="str">
        <f>'Deal Model'!$A$24</f>
        <v>Mid-sized Gas Utilities Utilities</v>
      </c>
      <c r="B73" s="72">
        <f t="shared" ref="B73:F73" si="22">B101+B125+B149+B173+B197</f>
        <v>0</v>
      </c>
      <c r="C73" s="50">
        <f t="shared" si="22"/>
        <v>1250000</v>
      </c>
      <c r="D73" s="50">
        <f t="shared" si="22"/>
        <v>200000</v>
      </c>
      <c r="E73" s="50">
        <f t="shared" si="22"/>
        <v>1450000</v>
      </c>
      <c r="F73" s="51">
        <f t="shared" si="22"/>
        <v>1450000</v>
      </c>
    </row>
    <row r="74" spans="1:6" ht="15.75" thickBot="1">
      <c r="A74" s="42" t="str">
        <f>'Deal Model'!$A$36</f>
        <v>Large Utilities</v>
      </c>
      <c r="B74" s="73">
        <f t="shared" ref="B74:F74" si="23">B102+B126+B150+B174+B198</f>
        <v>0</v>
      </c>
      <c r="C74" s="52">
        <f t="shared" si="23"/>
        <v>0</v>
      </c>
      <c r="D74" s="52">
        <f t="shared" si="23"/>
        <v>1900000</v>
      </c>
      <c r="E74" s="52">
        <f t="shared" si="23"/>
        <v>1350000</v>
      </c>
      <c r="F74" s="53">
        <f t="shared" si="23"/>
        <v>800000</v>
      </c>
    </row>
    <row r="75" spans="1:6" ht="15.75" thickBot="1">
      <c r="A75" s="49" t="s">
        <v>163</v>
      </c>
      <c r="B75" s="74">
        <f>SUM(B76:B78)</f>
        <v>0</v>
      </c>
      <c r="C75" s="75">
        <f>SUM(C76:C78)</f>
        <v>680000</v>
      </c>
      <c r="D75" s="75">
        <f>SUM(D76:D78)</f>
        <v>2110000</v>
      </c>
      <c r="E75" s="75">
        <f>SUM(E76:E78)</f>
        <v>3140000</v>
      </c>
      <c r="F75" s="76">
        <f>SUM(F76:F78)</f>
        <v>4670000</v>
      </c>
    </row>
    <row r="76" spans="1:6">
      <c r="A76" s="41" t="str">
        <f>'Deal Model'!$A$12</f>
        <v>Mid-sized Elec. Utilities Utilities</v>
      </c>
      <c r="B76" s="69">
        <f>B104+B128+B152+B176+B200</f>
        <v>0</v>
      </c>
      <c r="C76" s="70">
        <f t="shared" ref="C76:F76" si="24">C104+C128+C152+C176+C200</f>
        <v>680000</v>
      </c>
      <c r="D76" s="70">
        <f t="shared" si="24"/>
        <v>860000</v>
      </c>
      <c r="E76" s="70">
        <f t="shared" si="24"/>
        <v>1040000</v>
      </c>
      <c r="F76" s="71">
        <f t="shared" si="24"/>
        <v>1220000</v>
      </c>
    </row>
    <row r="77" spans="1:6">
      <c r="A77" s="41" t="str">
        <f>'Deal Model'!$A$24</f>
        <v>Mid-sized Gas Utilities Utilities</v>
      </c>
      <c r="B77" s="72">
        <f t="shared" ref="B77:F77" si="25">B105+B129+B153+B177+B201</f>
        <v>0</v>
      </c>
      <c r="C77" s="50">
        <f t="shared" si="25"/>
        <v>0</v>
      </c>
      <c r="D77" s="50">
        <f t="shared" si="25"/>
        <v>1250000</v>
      </c>
      <c r="E77" s="50">
        <f t="shared" si="25"/>
        <v>200000</v>
      </c>
      <c r="F77" s="51">
        <f t="shared" si="25"/>
        <v>200000</v>
      </c>
    </row>
    <row r="78" spans="1:6" ht="15.75" thickBot="1">
      <c r="A78" s="42" t="str">
        <f>'Deal Model'!$A$36</f>
        <v>Large Utilities</v>
      </c>
      <c r="B78" s="73">
        <f t="shared" ref="B78:F78" si="26">B106+B130+B154+B178+B202</f>
        <v>0</v>
      </c>
      <c r="C78" s="52">
        <f t="shared" si="26"/>
        <v>0</v>
      </c>
      <c r="D78" s="52">
        <f t="shared" si="26"/>
        <v>0</v>
      </c>
      <c r="E78" s="52">
        <f t="shared" si="26"/>
        <v>1900000</v>
      </c>
      <c r="F78" s="53">
        <f t="shared" si="26"/>
        <v>3250000</v>
      </c>
    </row>
    <row r="79" spans="1:6" ht="15.75" thickBot="1">
      <c r="A79" s="49" t="s">
        <v>164</v>
      </c>
      <c r="B79" s="74">
        <f>SUM(B80:B82)</f>
        <v>0</v>
      </c>
      <c r="C79" s="75">
        <f>SUM(C80:C82)</f>
        <v>0</v>
      </c>
      <c r="D79" s="75">
        <f>SUM(D80:D82)</f>
        <v>680000</v>
      </c>
      <c r="E79" s="75">
        <f>SUM(E80:E82)</f>
        <v>2110000</v>
      </c>
      <c r="F79" s="76">
        <f>SUM(F80:F82)</f>
        <v>2490000</v>
      </c>
    </row>
    <row r="80" spans="1:6">
      <c r="A80" s="41" t="str">
        <f>'Deal Model'!$A$12</f>
        <v>Mid-sized Elec. Utilities Utilities</v>
      </c>
      <c r="B80" s="69">
        <f>B108+B132+B156+B180+B204</f>
        <v>0</v>
      </c>
      <c r="C80" s="70">
        <f t="shared" ref="C80:F80" si="27">C108+C132+C156+C180+C204</f>
        <v>0</v>
      </c>
      <c r="D80" s="70">
        <f t="shared" si="27"/>
        <v>680000</v>
      </c>
      <c r="E80" s="70">
        <f t="shared" si="27"/>
        <v>860000</v>
      </c>
      <c r="F80" s="71">
        <f t="shared" si="27"/>
        <v>1040000</v>
      </c>
    </row>
    <row r="81" spans="1:16">
      <c r="A81" s="41" t="str">
        <f>'Deal Model'!$A$24</f>
        <v>Mid-sized Gas Utilities Utilities</v>
      </c>
      <c r="B81" s="72">
        <f t="shared" ref="B81:F81" si="28">B109+B133+B157+B181+B205</f>
        <v>0</v>
      </c>
      <c r="C81" s="50">
        <f t="shared" si="28"/>
        <v>0</v>
      </c>
      <c r="D81" s="50">
        <f t="shared" si="28"/>
        <v>0</v>
      </c>
      <c r="E81" s="50">
        <f t="shared" si="28"/>
        <v>1250000</v>
      </c>
      <c r="F81" s="51">
        <f t="shared" si="28"/>
        <v>1450000</v>
      </c>
    </row>
    <row r="82" spans="1:16" ht="15.75" thickBot="1">
      <c r="A82" s="42" t="str">
        <f>'Deal Model'!$A$36</f>
        <v>Large Utilities</v>
      </c>
      <c r="B82" s="73">
        <f t="shared" ref="B82:F82" si="29">B110+B134+B158+B182+B206</f>
        <v>0</v>
      </c>
      <c r="C82" s="52">
        <f t="shared" si="29"/>
        <v>0</v>
      </c>
      <c r="D82" s="52">
        <f t="shared" si="29"/>
        <v>0</v>
      </c>
      <c r="E82" s="52">
        <f t="shared" si="29"/>
        <v>0</v>
      </c>
      <c r="F82" s="53">
        <f t="shared" si="29"/>
        <v>0</v>
      </c>
    </row>
    <row r="83" spans="1:16" ht="15.75" thickBot="1">
      <c r="A83" s="49" t="s">
        <v>165</v>
      </c>
      <c r="B83" s="74">
        <f>SUM(B84:B86)</f>
        <v>0</v>
      </c>
      <c r="C83" s="75">
        <f>SUM(C84:C86)</f>
        <v>0</v>
      </c>
      <c r="D83" s="75">
        <f>SUM(D84:D86)</f>
        <v>0</v>
      </c>
      <c r="E83" s="75">
        <f>SUM(E84:E86)</f>
        <v>680000</v>
      </c>
      <c r="F83" s="76">
        <f>SUM(F84:F86)</f>
        <v>860000</v>
      </c>
    </row>
    <row r="84" spans="1:16">
      <c r="A84" s="41" t="str">
        <f>'Deal Model'!$A$12</f>
        <v>Mid-sized Elec. Utilities Utilities</v>
      </c>
      <c r="B84" s="69">
        <f>B112+B136+B160+B184+B208</f>
        <v>0</v>
      </c>
      <c r="C84" s="70">
        <f t="shared" ref="C84:F84" si="30">C112+C136+C160+C184+C208</f>
        <v>0</v>
      </c>
      <c r="D84" s="70">
        <f t="shared" si="30"/>
        <v>0</v>
      </c>
      <c r="E84" s="70">
        <f t="shared" si="30"/>
        <v>680000</v>
      </c>
      <c r="F84" s="71">
        <f t="shared" si="30"/>
        <v>860000</v>
      </c>
    </row>
    <row r="85" spans="1:16">
      <c r="A85" s="41" t="str">
        <f>'Deal Model'!$A$24</f>
        <v>Mid-sized Gas Utilities Utilities</v>
      </c>
      <c r="B85" s="72">
        <f t="shared" ref="B85:F85" si="31">B113+B137+B161+B185+B209</f>
        <v>0</v>
      </c>
      <c r="C85" s="50">
        <f t="shared" si="31"/>
        <v>0</v>
      </c>
      <c r="D85" s="50">
        <f t="shared" si="31"/>
        <v>0</v>
      </c>
      <c r="E85" s="50">
        <f t="shared" si="31"/>
        <v>0</v>
      </c>
      <c r="F85" s="51">
        <f t="shared" si="31"/>
        <v>0</v>
      </c>
    </row>
    <row r="86" spans="1:16" ht="15.75" thickBot="1">
      <c r="A86" s="42" t="str">
        <f>'Deal Model'!$A$36</f>
        <v>Large Utilities</v>
      </c>
      <c r="B86" s="73">
        <f t="shared" ref="B86:F86" si="32">B114+B138+B162+B186+B210</f>
        <v>0</v>
      </c>
      <c r="C86" s="52">
        <f t="shared" si="32"/>
        <v>0</v>
      </c>
      <c r="D86" s="52">
        <f t="shared" si="32"/>
        <v>0</v>
      </c>
      <c r="E86" s="52">
        <f t="shared" si="32"/>
        <v>0</v>
      </c>
      <c r="F86" s="53">
        <f t="shared" si="32"/>
        <v>0</v>
      </c>
    </row>
    <row r="87" spans="1:16" ht="15.75" thickBot="1">
      <c r="A87" s="77" t="s">
        <v>60</v>
      </c>
      <c r="B87" s="78">
        <f>B83+B79+B75+B71+B67</f>
        <v>1360000</v>
      </c>
      <c r="C87" s="79">
        <f t="shared" ref="C87:F87" si="33">C83+C79+C75+C71+C67</f>
        <v>4900000</v>
      </c>
      <c r="D87" s="79">
        <f t="shared" si="33"/>
        <v>9070000</v>
      </c>
      <c r="E87" s="79">
        <f t="shared" si="33"/>
        <v>15330000</v>
      </c>
      <c r="F87" s="80">
        <f t="shared" si="33"/>
        <v>17040000</v>
      </c>
    </row>
    <row r="90" spans="1:16">
      <c r="A90" s="65" t="s">
        <v>58</v>
      </c>
      <c r="B90" s="66"/>
      <c r="C90" s="66"/>
      <c r="D90" s="66"/>
      <c r="E90" s="66"/>
      <c r="F90" s="66"/>
      <c r="G90" s="66"/>
      <c r="H90" s="66"/>
      <c r="I90" s="66"/>
      <c r="J90" s="66"/>
      <c r="K90" s="66"/>
      <c r="L90" s="66"/>
      <c r="M90" s="66"/>
      <c r="N90" s="66"/>
      <c r="O90" s="66"/>
      <c r="P90" s="66"/>
    </row>
    <row r="92" spans="1:16" ht="15.75" thickBot="1"/>
    <row r="93" spans="1:16">
      <c r="A93" s="208" t="s">
        <v>31</v>
      </c>
      <c r="B93" s="210" t="s">
        <v>53</v>
      </c>
      <c r="C93" s="211"/>
      <c r="D93" s="211"/>
      <c r="E93" s="211"/>
      <c r="F93" s="212"/>
    </row>
    <row r="94" spans="1:16" ht="15.75" thickBot="1">
      <c r="A94" s="209"/>
      <c r="B94" s="43">
        <f>Introduction!$B$11</f>
        <v>2017</v>
      </c>
      <c r="C94" s="44">
        <f>B94+1</f>
        <v>2018</v>
      </c>
      <c r="D94" s="44">
        <f>C94+1</f>
        <v>2019</v>
      </c>
      <c r="E94" s="44">
        <f>D94+1</f>
        <v>2020</v>
      </c>
      <c r="F94" s="45">
        <f>E94+1</f>
        <v>2021</v>
      </c>
    </row>
    <row r="95" spans="1:16" ht="15.75" thickBot="1">
      <c r="A95" s="49" t="s">
        <v>161</v>
      </c>
      <c r="B95" s="74">
        <f>SUM(B96:B98)</f>
        <v>680000</v>
      </c>
      <c r="C95" s="75">
        <f>SUM(C96:C98)</f>
        <v>180000</v>
      </c>
      <c r="D95" s="75">
        <f>SUM(D96:D98)</f>
        <v>180000</v>
      </c>
      <c r="E95" s="75">
        <f>SUM(E96:E98)</f>
        <v>180000</v>
      </c>
      <c r="F95" s="76">
        <f>SUM(F96:F98)</f>
        <v>180000</v>
      </c>
    </row>
    <row r="96" spans="1:16">
      <c r="A96" s="41" t="str">
        <f>'Deal Model'!$A$12</f>
        <v>Mid-sized Elec. Utilities Utilities</v>
      </c>
      <c r="B96" s="69">
        <f>$B14*'Deal Model'!C$21</f>
        <v>680000</v>
      </c>
      <c r="C96" s="70">
        <f>$B14*'Deal Model'!D$21</f>
        <v>180000</v>
      </c>
      <c r="D96" s="70">
        <f>$B14*'Deal Model'!E$21</f>
        <v>180000</v>
      </c>
      <c r="E96" s="70">
        <f>$B14*'Deal Model'!F$21</f>
        <v>180000</v>
      </c>
      <c r="F96" s="71">
        <f>$B14*'Deal Model'!G$21</f>
        <v>180000</v>
      </c>
      <c r="G96" t="s">
        <v>50</v>
      </c>
    </row>
    <row r="97" spans="1:7">
      <c r="A97" s="41" t="str">
        <f>'Deal Model'!$A$24</f>
        <v>Mid-sized Gas Utilities Utilities</v>
      </c>
      <c r="B97" s="72">
        <f>$B15*'Deal Model'!C$33</f>
        <v>0</v>
      </c>
      <c r="C97" s="50">
        <f>$B15*'Deal Model'!D$33</f>
        <v>0</v>
      </c>
      <c r="D97" s="50">
        <f>$B15*'Deal Model'!E$33</f>
        <v>0</v>
      </c>
      <c r="E97" s="50">
        <f>$B15*'Deal Model'!F$33</f>
        <v>0</v>
      </c>
      <c r="F97" s="51">
        <f>$B15*'Deal Model'!G$33</f>
        <v>0</v>
      </c>
      <c r="G97" t="s">
        <v>50</v>
      </c>
    </row>
    <row r="98" spans="1:7" ht="15.75" thickBot="1">
      <c r="A98" s="42" t="str">
        <f>'Deal Model'!$A$36</f>
        <v>Large Utilities</v>
      </c>
      <c r="B98" s="73">
        <f>$B16*'Deal Model'!C$45</f>
        <v>0</v>
      </c>
      <c r="C98" s="52">
        <f>$B16*'Deal Model'!D$45</f>
        <v>0</v>
      </c>
      <c r="D98" s="52">
        <f>$B16*'Deal Model'!E$45</f>
        <v>0</v>
      </c>
      <c r="E98" s="52">
        <f>$B16*'Deal Model'!F$45</f>
        <v>0</v>
      </c>
      <c r="F98" s="53">
        <f>$B16*'Deal Model'!G$45</f>
        <v>0</v>
      </c>
      <c r="G98" t="s">
        <v>50</v>
      </c>
    </row>
    <row r="99" spans="1:7" ht="15.75" thickBot="1">
      <c r="A99" s="49" t="s">
        <v>162</v>
      </c>
      <c r="B99" s="85">
        <f>SUM(B100:B102)</f>
        <v>680000</v>
      </c>
      <c r="C99" s="86">
        <f>SUM(C100:C102)</f>
        <v>180000</v>
      </c>
      <c r="D99" s="86">
        <f>SUM(D100:D102)</f>
        <v>180000</v>
      </c>
      <c r="E99" s="86">
        <f>SUM(E100:E102)</f>
        <v>180000</v>
      </c>
      <c r="F99" s="87">
        <f>SUM(F100:F102)</f>
        <v>180000</v>
      </c>
    </row>
    <row r="100" spans="1:7">
      <c r="A100" s="41" t="str">
        <f>'Deal Model'!$A$12</f>
        <v>Mid-sized Elec. Utilities Utilities</v>
      </c>
      <c r="B100" s="69">
        <f>$B18*'Deal Model'!C$21</f>
        <v>680000</v>
      </c>
      <c r="C100" s="70">
        <f>$B18*'Deal Model'!D$21</f>
        <v>180000</v>
      </c>
      <c r="D100" s="70">
        <f>$B18*'Deal Model'!E$21</f>
        <v>180000</v>
      </c>
      <c r="E100" s="70">
        <f>$B18*'Deal Model'!F$21</f>
        <v>180000</v>
      </c>
      <c r="F100" s="71">
        <f>$B18*'Deal Model'!G$21</f>
        <v>180000</v>
      </c>
      <c r="G100" t="s">
        <v>50</v>
      </c>
    </row>
    <row r="101" spans="1:7">
      <c r="A101" s="41" t="str">
        <f>'Deal Model'!$A$24</f>
        <v>Mid-sized Gas Utilities Utilities</v>
      </c>
      <c r="B101" s="72">
        <f>$B19*'Deal Model'!C$33</f>
        <v>0</v>
      </c>
      <c r="C101" s="50">
        <f>$B19*'Deal Model'!D$33</f>
        <v>0</v>
      </c>
      <c r="D101" s="50">
        <f>$B19*'Deal Model'!E$33</f>
        <v>0</v>
      </c>
      <c r="E101" s="50">
        <f>$B19*'Deal Model'!F$33</f>
        <v>0</v>
      </c>
      <c r="F101" s="51">
        <f>$B19*'Deal Model'!G$33</f>
        <v>0</v>
      </c>
      <c r="G101" t="s">
        <v>50</v>
      </c>
    </row>
    <row r="102" spans="1:7" ht="15.75" thickBot="1">
      <c r="A102" s="42" t="str">
        <f>'Deal Model'!$A$36</f>
        <v>Large Utilities</v>
      </c>
      <c r="B102" s="73">
        <f>$B20*'Deal Model'!C$45</f>
        <v>0</v>
      </c>
      <c r="C102" s="52">
        <f>$B20*'Deal Model'!D$45</f>
        <v>0</v>
      </c>
      <c r="D102" s="52">
        <f>$B20*'Deal Model'!E$45</f>
        <v>0</v>
      </c>
      <c r="E102" s="52">
        <f>$B20*'Deal Model'!F$45</f>
        <v>0</v>
      </c>
      <c r="F102" s="53">
        <f>$B20*'Deal Model'!G$45</f>
        <v>0</v>
      </c>
      <c r="G102" t="s">
        <v>50</v>
      </c>
    </row>
    <row r="103" spans="1:7" ht="15.75" thickBot="1">
      <c r="A103" s="49" t="s">
        <v>163</v>
      </c>
      <c r="B103" s="74">
        <f>SUM(B104:B106)</f>
        <v>0</v>
      </c>
      <c r="C103" s="75">
        <f>SUM(C104:C106)</f>
        <v>0</v>
      </c>
      <c r="D103" s="75">
        <f>SUM(D104:D106)</f>
        <v>0</v>
      </c>
      <c r="E103" s="75">
        <f>SUM(E104:E106)</f>
        <v>0</v>
      </c>
      <c r="F103" s="76">
        <f>SUM(F104:F106)</f>
        <v>0</v>
      </c>
    </row>
    <row r="104" spans="1:7">
      <c r="A104" s="41" t="str">
        <f>'Deal Model'!$A$12</f>
        <v>Mid-sized Elec. Utilities Utilities</v>
      </c>
      <c r="B104" s="69">
        <f>$B22*'Deal Model'!C$21</f>
        <v>0</v>
      </c>
      <c r="C104" s="70">
        <f>$B22*'Deal Model'!D$21</f>
        <v>0</v>
      </c>
      <c r="D104" s="70">
        <f>$B22*'Deal Model'!E$21</f>
        <v>0</v>
      </c>
      <c r="E104" s="70">
        <f>$B22*'Deal Model'!F$21</f>
        <v>0</v>
      </c>
      <c r="F104" s="71">
        <f>$B22*'Deal Model'!G$21</f>
        <v>0</v>
      </c>
      <c r="G104" t="s">
        <v>50</v>
      </c>
    </row>
    <row r="105" spans="1:7">
      <c r="A105" s="41" t="str">
        <f>'Deal Model'!$A$24</f>
        <v>Mid-sized Gas Utilities Utilities</v>
      </c>
      <c r="B105" s="72">
        <f>$B23*'Deal Model'!C$33</f>
        <v>0</v>
      </c>
      <c r="C105" s="50">
        <f>$B23*'Deal Model'!D$33</f>
        <v>0</v>
      </c>
      <c r="D105" s="50">
        <f>$B23*'Deal Model'!E$33</f>
        <v>0</v>
      </c>
      <c r="E105" s="50">
        <f>$B23*'Deal Model'!F$33</f>
        <v>0</v>
      </c>
      <c r="F105" s="51">
        <f>$B23*'Deal Model'!G$33</f>
        <v>0</v>
      </c>
      <c r="G105" t="s">
        <v>50</v>
      </c>
    </row>
    <row r="106" spans="1:7" ht="15.75" thickBot="1">
      <c r="A106" s="42" t="str">
        <f>'Deal Model'!$A$36</f>
        <v>Large Utilities</v>
      </c>
      <c r="B106" s="73">
        <f>$B24*'Deal Model'!C$45</f>
        <v>0</v>
      </c>
      <c r="C106" s="52">
        <f>$B24*'Deal Model'!D$45</f>
        <v>0</v>
      </c>
      <c r="D106" s="52">
        <f>$B24*'Deal Model'!E$45</f>
        <v>0</v>
      </c>
      <c r="E106" s="52">
        <f>$B24*'Deal Model'!F$45</f>
        <v>0</v>
      </c>
      <c r="F106" s="53">
        <f>$B24*'Deal Model'!G$45</f>
        <v>0</v>
      </c>
      <c r="G106" t="s">
        <v>50</v>
      </c>
    </row>
    <row r="107" spans="1:7" ht="15.75" thickBot="1">
      <c r="A107" s="49" t="s">
        <v>164</v>
      </c>
      <c r="B107" s="74">
        <f>SUM(B108:B110)</f>
        <v>0</v>
      </c>
      <c r="C107" s="75">
        <f>SUM(C108:C110)</f>
        <v>0</v>
      </c>
      <c r="D107" s="75">
        <f>SUM(D108:D110)</f>
        <v>0</v>
      </c>
      <c r="E107" s="75">
        <f>SUM(E108:E110)</f>
        <v>0</v>
      </c>
      <c r="F107" s="76">
        <f>SUM(F108:F110)</f>
        <v>0</v>
      </c>
    </row>
    <row r="108" spans="1:7">
      <c r="A108" s="41" t="str">
        <f>'Deal Model'!$A$12</f>
        <v>Mid-sized Elec. Utilities Utilities</v>
      </c>
      <c r="B108" s="69">
        <f>$B26*'Deal Model'!C$21</f>
        <v>0</v>
      </c>
      <c r="C108" s="70">
        <f>$B26*'Deal Model'!D$21</f>
        <v>0</v>
      </c>
      <c r="D108" s="70">
        <f>$B26*'Deal Model'!E$21</f>
        <v>0</v>
      </c>
      <c r="E108" s="70">
        <f>$B26*'Deal Model'!F$21</f>
        <v>0</v>
      </c>
      <c r="F108" s="71">
        <f>$B26*'Deal Model'!G$21</f>
        <v>0</v>
      </c>
      <c r="G108" t="s">
        <v>50</v>
      </c>
    </row>
    <row r="109" spans="1:7">
      <c r="A109" s="41" t="str">
        <f>'Deal Model'!$A$24</f>
        <v>Mid-sized Gas Utilities Utilities</v>
      </c>
      <c r="B109" s="72">
        <f>$B27*'Deal Model'!C$33</f>
        <v>0</v>
      </c>
      <c r="C109" s="50">
        <f>$B27*'Deal Model'!D$33</f>
        <v>0</v>
      </c>
      <c r="D109" s="50">
        <f>$B27*'Deal Model'!E$33</f>
        <v>0</v>
      </c>
      <c r="E109" s="50">
        <f>$B27*'Deal Model'!F$33</f>
        <v>0</v>
      </c>
      <c r="F109" s="51">
        <f>$B27*'Deal Model'!G$33</f>
        <v>0</v>
      </c>
      <c r="G109" t="s">
        <v>50</v>
      </c>
    </row>
    <row r="110" spans="1:7" ht="15.75" thickBot="1">
      <c r="A110" s="42" t="str">
        <f>'Deal Model'!$A$36</f>
        <v>Large Utilities</v>
      </c>
      <c r="B110" s="73">
        <f>$B28*'Deal Model'!C$45</f>
        <v>0</v>
      </c>
      <c r="C110" s="52">
        <f>$B28*'Deal Model'!D$45</f>
        <v>0</v>
      </c>
      <c r="D110" s="52">
        <f>$B28*'Deal Model'!E$45</f>
        <v>0</v>
      </c>
      <c r="E110" s="52">
        <f>$B28*'Deal Model'!F$45</f>
        <v>0</v>
      </c>
      <c r="F110" s="53">
        <f>$B28*'Deal Model'!G$45</f>
        <v>0</v>
      </c>
      <c r="G110" t="s">
        <v>50</v>
      </c>
    </row>
    <row r="111" spans="1:7" ht="15.75" thickBot="1">
      <c r="A111" s="49" t="s">
        <v>165</v>
      </c>
      <c r="B111" s="74">
        <f>SUM(B112:B114)</f>
        <v>0</v>
      </c>
      <c r="C111" s="75">
        <f>SUM(C112:C114)</f>
        <v>0</v>
      </c>
      <c r="D111" s="75">
        <f>SUM(D112:D114)</f>
        <v>0</v>
      </c>
      <c r="E111" s="75">
        <f>SUM(E112:E114)</f>
        <v>0</v>
      </c>
      <c r="F111" s="76">
        <f>SUM(F112:F114)</f>
        <v>0</v>
      </c>
    </row>
    <row r="112" spans="1:7">
      <c r="A112" s="41" t="str">
        <f>'Deal Model'!$A$12</f>
        <v>Mid-sized Elec. Utilities Utilities</v>
      </c>
      <c r="B112" s="69">
        <f>$B30*'Deal Model'!C$21</f>
        <v>0</v>
      </c>
      <c r="C112" s="70">
        <f>$B30*'Deal Model'!D$21</f>
        <v>0</v>
      </c>
      <c r="D112" s="70">
        <f>$B30*'Deal Model'!E$21</f>
        <v>0</v>
      </c>
      <c r="E112" s="70">
        <f>$B30*'Deal Model'!F$21</f>
        <v>0</v>
      </c>
      <c r="F112" s="71">
        <f>$B30*'Deal Model'!G$21</f>
        <v>0</v>
      </c>
      <c r="G112" t="s">
        <v>50</v>
      </c>
    </row>
    <row r="113" spans="1:7">
      <c r="A113" s="41" t="str">
        <f>'Deal Model'!$A$24</f>
        <v>Mid-sized Gas Utilities Utilities</v>
      </c>
      <c r="B113" s="72">
        <f>$B31*'Deal Model'!C$33</f>
        <v>0</v>
      </c>
      <c r="C113" s="50">
        <f>$B31*'Deal Model'!D$33</f>
        <v>0</v>
      </c>
      <c r="D113" s="50">
        <f>$B31*'Deal Model'!E$33</f>
        <v>0</v>
      </c>
      <c r="E113" s="50">
        <f>$B31*'Deal Model'!F$33</f>
        <v>0</v>
      </c>
      <c r="F113" s="51">
        <f>$B31*'Deal Model'!G$33</f>
        <v>0</v>
      </c>
      <c r="G113" t="s">
        <v>50</v>
      </c>
    </row>
    <row r="114" spans="1:7" ht="15.75" thickBot="1">
      <c r="A114" s="42" t="str">
        <f>'Deal Model'!$A$36</f>
        <v>Large Utilities</v>
      </c>
      <c r="B114" s="73">
        <f>$B32*'Deal Model'!C$45</f>
        <v>0</v>
      </c>
      <c r="C114" s="52">
        <f>$B32*'Deal Model'!D$45</f>
        <v>0</v>
      </c>
      <c r="D114" s="52">
        <f>$B32*'Deal Model'!E$45</f>
        <v>0</v>
      </c>
      <c r="E114" s="52">
        <f>$B32*'Deal Model'!F$45</f>
        <v>0</v>
      </c>
      <c r="F114" s="53">
        <f>$B32*'Deal Model'!G$45</f>
        <v>0</v>
      </c>
      <c r="G114" t="s">
        <v>50</v>
      </c>
    </row>
    <row r="115" spans="1:7" ht="15.75" thickBot="1">
      <c r="A115" s="77" t="s">
        <v>49</v>
      </c>
      <c r="B115" s="78">
        <f>B111+B107+B103+B99+B95</f>
        <v>1360000</v>
      </c>
      <c r="C115" s="79">
        <f t="shared" ref="C115:F115" si="34">C111+C107+C103+C99+C95</f>
        <v>360000</v>
      </c>
      <c r="D115" s="79">
        <f t="shared" si="34"/>
        <v>360000</v>
      </c>
      <c r="E115" s="79">
        <f t="shared" si="34"/>
        <v>360000</v>
      </c>
      <c r="F115" s="80">
        <f t="shared" si="34"/>
        <v>360000</v>
      </c>
    </row>
    <row r="116" spans="1:7" ht="15.75" thickBot="1"/>
    <row r="117" spans="1:7">
      <c r="A117" s="208" t="s">
        <v>31</v>
      </c>
      <c r="B117" s="210" t="s">
        <v>54</v>
      </c>
      <c r="C117" s="211"/>
      <c r="D117" s="211"/>
      <c r="E117" s="211"/>
      <c r="F117" s="212"/>
    </row>
    <row r="118" spans="1:7" ht="15.75" thickBot="1">
      <c r="A118" s="209"/>
      <c r="B118" s="43">
        <f>Introduction!$B$11</f>
        <v>2017</v>
      </c>
      <c r="C118" s="44">
        <f>B118+1</f>
        <v>2018</v>
      </c>
      <c r="D118" s="44">
        <f>C118+1</f>
        <v>2019</v>
      </c>
      <c r="E118" s="44">
        <f>D118+1</f>
        <v>2020</v>
      </c>
      <c r="F118" s="45">
        <f>E118+1</f>
        <v>2021</v>
      </c>
    </row>
    <row r="119" spans="1:7" ht="15.75" thickBot="1">
      <c r="A119" s="49" t="s">
        <v>161</v>
      </c>
      <c r="B119" s="74">
        <f>SUM(B120:B122)</f>
        <v>0</v>
      </c>
      <c r="C119" s="75">
        <f>SUM(C120:C122)</f>
        <v>1930000</v>
      </c>
      <c r="D119" s="75">
        <f>SUM(D120:D122)</f>
        <v>380000</v>
      </c>
      <c r="E119" s="75">
        <f>SUM(E120:E122)</f>
        <v>380000</v>
      </c>
      <c r="F119" s="76">
        <f>SUM(F120:F122)</f>
        <v>180000</v>
      </c>
    </row>
    <row r="120" spans="1:7">
      <c r="A120" s="41" t="str">
        <f>'Deal Model'!$A$12</f>
        <v>Mid-sized Elec. Utilities Utilities</v>
      </c>
      <c r="B120" s="99"/>
      <c r="C120" s="70">
        <f>$C14*'Deal Model'!C$21</f>
        <v>680000</v>
      </c>
      <c r="D120" s="70">
        <f>$C14*'Deal Model'!D$21</f>
        <v>180000</v>
      </c>
      <c r="E120" s="70">
        <f>$C14*'Deal Model'!E$21</f>
        <v>180000</v>
      </c>
      <c r="F120" s="71">
        <f>$C14*'Deal Model'!F$21</f>
        <v>180000</v>
      </c>
      <c r="G120" t="s">
        <v>50</v>
      </c>
    </row>
    <row r="121" spans="1:7">
      <c r="A121" s="41" t="str">
        <f>'Deal Model'!$A$24</f>
        <v>Mid-sized Gas Utilities Utilities</v>
      </c>
      <c r="B121" s="100"/>
      <c r="C121" s="50">
        <f>$C15*'Deal Model'!C$33</f>
        <v>1250000</v>
      </c>
      <c r="D121" s="50">
        <f>$C15*'Deal Model'!D$33</f>
        <v>200000</v>
      </c>
      <c r="E121" s="50">
        <f>$C15*'Deal Model'!E$33</f>
        <v>200000</v>
      </c>
      <c r="F121" s="51">
        <f>$C15*'Deal Model'!F$33</f>
        <v>0</v>
      </c>
      <c r="G121" t="s">
        <v>50</v>
      </c>
    </row>
    <row r="122" spans="1:7" ht="15.75" thickBot="1">
      <c r="A122" s="42" t="str">
        <f>'Deal Model'!$A$36</f>
        <v>Large Utilities</v>
      </c>
      <c r="B122" s="101"/>
      <c r="C122" s="52">
        <f>$C16*'Deal Model'!C$45</f>
        <v>0</v>
      </c>
      <c r="D122" s="52">
        <f>$C16*'Deal Model'!D$45</f>
        <v>0</v>
      </c>
      <c r="E122" s="52">
        <f>$C16*'Deal Model'!E$45</f>
        <v>0</v>
      </c>
      <c r="F122" s="53">
        <f>$C16*'Deal Model'!F$45</f>
        <v>0</v>
      </c>
      <c r="G122" t="s">
        <v>50</v>
      </c>
    </row>
    <row r="123" spans="1:7" ht="15.75" thickBot="1">
      <c r="A123" s="49" t="s">
        <v>162</v>
      </c>
      <c r="B123" s="85">
        <f>SUM(B124:B126)</f>
        <v>0</v>
      </c>
      <c r="C123" s="86">
        <f>SUM(C124:C126)</f>
        <v>1930000</v>
      </c>
      <c r="D123" s="86">
        <f>SUM(D124:D126)</f>
        <v>380000</v>
      </c>
      <c r="E123" s="86">
        <f>SUM(E124:E126)</f>
        <v>380000</v>
      </c>
      <c r="F123" s="87">
        <f>SUM(F124:F126)</f>
        <v>180000</v>
      </c>
    </row>
    <row r="124" spans="1:7">
      <c r="A124" s="41" t="str">
        <f>'Deal Model'!$A$12</f>
        <v>Mid-sized Elec. Utilities Utilities</v>
      </c>
      <c r="B124" s="99"/>
      <c r="C124" s="70">
        <f>$C18*'Deal Model'!C$21</f>
        <v>680000</v>
      </c>
      <c r="D124" s="70">
        <f>$C18*'Deal Model'!D$21</f>
        <v>180000</v>
      </c>
      <c r="E124" s="70">
        <f>$C18*'Deal Model'!E$21</f>
        <v>180000</v>
      </c>
      <c r="F124" s="71">
        <f>$C18*'Deal Model'!F$21</f>
        <v>180000</v>
      </c>
      <c r="G124" t="s">
        <v>50</v>
      </c>
    </row>
    <row r="125" spans="1:7">
      <c r="A125" s="41" t="str">
        <f>'Deal Model'!$A$24</f>
        <v>Mid-sized Gas Utilities Utilities</v>
      </c>
      <c r="B125" s="100"/>
      <c r="C125" s="50">
        <f>$C19*'Deal Model'!C$33</f>
        <v>1250000</v>
      </c>
      <c r="D125" s="50">
        <f>$C19*'Deal Model'!D$33</f>
        <v>200000</v>
      </c>
      <c r="E125" s="50">
        <f>$C19*'Deal Model'!E$33</f>
        <v>200000</v>
      </c>
      <c r="F125" s="51">
        <f>$C19*'Deal Model'!F$33</f>
        <v>0</v>
      </c>
      <c r="G125" t="s">
        <v>50</v>
      </c>
    </row>
    <row r="126" spans="1:7" ht="15.75" thickBot="1">
      <c r="A126" s="42" t="str">
        <f>'Deal Model'!$A$36</f>
        <v>Large Utilities</v>
      </c>
      <c r="B126" s="101"/>
      <c r="C126" s="52">
        <f>$C20*'Deal Model'!C$45</f>
        <v>0</v>
      </c>
      <c r="D126" s="52">
        <f>$C20*'Deal Model'!D$45</f>
        <v>0</v>
      </c>
      <c r="E126" s="52">
        <f>$C20*'Deal Model'!E$45</f>
        <v>0</v>
      </c>
      <c r="F126" s="53">
        <f>$C20*'Deal Model'!F$45</f>
        <v>0</v>
      </c>
      <c r="G126" t="s">
        <v>50</v>
      </c>
    </row>
    <row r="127" spans="1:7" ht="15.75" thickBot="1">
      <c r="A127" s="49" t="s">
        <v>163</v>
      </c>
      <c r="B127" s="74">
        <f>SUM(B128:B130)</f>
        <v>0</v>
      </c>
      <c r="C127" s="75">
        <f>SUM(C128:C130)</f>
        <v>680000</v>
      </c>
      <c r="D127" s="75">
        <f>SUM(D128:D130)</f>
        <v>180000</v>
      </c>
      <c r="E127" s="75">
        <f>SUM(E128:E130)</f>
        <v>180000</v>
      </c>
      <c r="F127" s="76">
        <f>SUM(F128:F130)</f>
        <v>180000</v>
      </c>
    </row>
    <row r="128" spans="1:7">
      <c r="A128" s="41" t="str">
        <f>'Deal Model'!$A$12</f>
        <v>Mid-sized Elec. Utilities Utilities</v>
      </c>
      <c r="B128" s="99"/>
      <c r="C128" s="70">
        <f>$C22*'Deal Model'!C$21</f>
        <v>680000</v>
      </c>
      <c r="D128" s="70">
        <f>$C22*'Deal Model'!D$21</f>
        <v>180000</v>
      </c>
      <c r="E128" s="70">
        <f>$C22*'Deal Model'!E$21</f>
        <v>180000</v>
      </c>
      <c r="F128" s="71">
        <f>$C22*'Deal Model'!F$21</f>
        <v>180000</v>
      </c>
      <c r="G128" t="s">
        <v>50</v>
      </c>
    </row>
    <row r="129" spans="1:7">
      <c r="A129" s="41" t="str">
        <f>'Deal Model'!$A$24</f>
        <v>Mid-sized Gas Utilities Utilities</v>
      </c>
      <c r="B129" s="100"/>
      <c r="C129" s="50">
        <f>$C23*'Deal Model'!C$33</f>
        <v>0</v>
      </c>
      <c r="D129" s="50">
        <f>$C23*'Deal Model'!D$33</f>
        <v>0</v>
      </c>
      <c r="E129" s="50">
        <f>$C23*'Deal Model'!E$33</f>
        <v>0</v>
      </c>
      <c r="F129" s="51">
        <f>$C23*'Deal Model'!F$33</f>
        <v>0</v>
      </c>
      <c r="G129" t="s">
        <v>50</v>
      </c>
    </row>
    <row r="130" spans="1:7" ht="15.75" thickBot="1">
      <c r="A130" s="42" t="str">
        <f>'Deal Model'!$A$36</f>
        <v>Large Utilities</v>
      </c>
      <c r="B130" s="101"/>
      <c r="C130" s="52">
        <f>$C24*'Deal Model'!C$45</f>
        <v>0</v>
      </c>
      <c r="D130" s="52">
        <f>$C24*'Deal Model'!D$45</f>
        <v>0</v>
      </c>
      <c r="E130" s="52">
        <f>$C24*'Deal Model'!E$45</f>
        <v>0</v>
      </c>
      <c r="F130" s="53">
        <f>$C24*'Deal Model'!F$45</f>
        <v>0</v>
      </c>
      <c r="G130" t="s">
        <v>50</v>
      </c>
    </row>
    <row r="131" spans="1:7" ht="15.75" thickBot="1">
      <c r="A131" s="49" t="s">
        <v>164</v>
      </c>
      <c r="B131" s="74">
        <f>SUM(B132:B134)</f>
        <v>0</v>
      </c>
      <c r="C131" s="75">
        <f>SUM(C132:C134)</f>
        <v>0</v>
      </c>
      <c r="D131" s="75">
        <f>SUM(D132:D134)</f>
        <v>0</v>
      </c>
      <c r="E131" s="75">
        <f>SUM(E132:E134)</f>
        <v>0</v>
      </c>
      <c r="F131" s="76">
        <f>SUM(F132:F134)</f>
        <v>0</v>
      </c>
    </row>
    <row r="132" spans="1:7">
      <c r="A132" s="41" t="str">
        <f>'Deal Model'!$A$12</f>
        <v>Mid-sized Elec. Utilities Utilities</v>
      </c>
      <c r="B132" s="99"/>
      <c r="C132" s="70">
        <f>$C26*'Deal Model'!C$21</f>
        <v>0</v>
      </c>
      <c r="D132" s="70">
        <f>$C26*'Deal Model'!D$21</f>
        <v>0</v>
      </c>
      <c r="E132" s="70">
        <f>$C26*'Deal Model'!E$21</f>
        <v>0</v>
      </c>
      <c r="F132" s="71">
        <f>$C26*'Deal Model'!F$21</f>
        <v>0</v>
      </c>
      <c r="G132" t="s">
        <v>50</v>
      </c>
    </row>
    <row r="133" spans="1:7">
      <c r="A133" s="41" t="str">
        <f>'Deal Model'!$A$24</f>
        <v>Mid-sized Gas Utilities Utilities</v>
      </c>
      <c r="B133" s="100"/>
      <c r="C133" s="50">
        <f>$C27*'Deal Model'!C$33</f>
        <v>0</v>
      </c>
      <c r="D133" s="50">
        <f>$C27*'Deal Model'!D$33</f>
        <v>0</v>
      </c>
      <c r="E133" s="50">
        <f>$C27*'Deal Model'!E$33</f>
        <v>0</v>
      </c>
      <c r="F133" s="51">
        <f>$C27*'Deal Model'!F$33</f>
        <v>0</v>
      </c>
      <c r="G133" t="s">
        <v>50</v>
      </c>
    </row>
    <row r="134" spans="1:7" ht="15.75" thickBot="1">
      <c r="A134" s="42" t="str">
        <f>'Deal Model'!$A$36</f>
        <v>Large Utilities</v>
      </c>
      <c r="B134" s="101"/>
      <c r="C134" s="52">
        <f>$C28*'Deal Model'!C$45</f>
        <v>0</v>
      </c>
      <c r="D134" s="52">
        <f>$C28*'Deal Model'!D$45</f>
        <v>0</v>
      </c>
      <c r="E134" s="52">
        <f>$C28*'Deal Model'!E$45</f>
        <v>0</v>
      </c>
      <c r="F134" s="53">
        <f>$C28*'Deal Model'!F$45</f>
        <v>0</v>
      </c>
      <c r="G134" t="s">
        <v>50</v>
      </c>
    </row>
    <row r="135" spans="1:7" ht="15.75" thickBot="1">
      <c r="A135" s="49" t="s">
        <v>165</v>
      </c>
      <c r="B135" s="74">
        <f>SUM(B136:B138)</f>
        <v>0</v>
      </c>
      <c r="C135" s="75">
        <f>SUM(C136:C138)</f>
        <v>0</v>
      </c>
      <c r="D135" s="75">
        <f>SUM(D136:D138)</f>
        <v>0</v>
      </c>
      <c r="E135" s="75">
        <f>SUM(E136:E138)</f>
        <v>0</v>
      </c>
      <c r="F135" s="76">
        <f>SUM(F136:F138)</f>
        <v>0</v>
      </c>
    </row>
    <row r="136" spans="1:7">
      <c r="A136" s="41" t="str">
        <f>'Deal Model'!$A$12</f>
        <v>Mid-sized Elec. Utilities Utilities</v>
      </c>
      <c r="B136" s="99"/>
      <c r="C136" s="70">
        <f>$C30*'Deal Model'!C$21</f>
        <v>0</v>
      </c>
      <c r="D136" s="70">
        <f>$C30*'Deal Model'!D$21</f>
        <v>0</v>
      </c>
      <c r="E136" s="70">
        <f>$C30*'Deal Model'!E$21</f>
        <v>0</v>
      </c>
      <c r="F136" s="71">
        <f>$C30*'Deal Model'!F$21</f>
        <v>0</v>
      </c>
      <c r="G136" t="s">
        <v>50</v>
      </c>
    </row>
    <row r="137" spans="1:7">
      <c r="A137" s="41" t="str">
        <f>'Deal Model'!$A$24</f>
        <v>Mid-sized Gas Utilities Utilities</v>
      </c>
      <c r="B137" s="100"/>
      <c r="C137" s="50">
        <f>$C31*'Deal Model'!C$33</f>
        <v>0</v>
      </c>
      <c r="D137" s="50">
        <f>$C31*'Deal Model'!D$33</f>
        <v>0</v>
      </c>
      <c r="E137" s="50">
        <f>$C31*'Deal Model'!E$33</f>
        <v>0</v>
      </c>
      <c r="F137" s="51">
        <f>$C31*'Deal Model'!F$33</f>
        <v>0</v>
      </c>
      <c r="G137" t="s">
        <v>50</v>
      </c>
    </row>
    <row r="138" spans="1:7" ht="15.75" thickBot="1">
      <c r="A138" s="42" t="str">
        <f>'Deal Model'!$A$36</f>
        <v>Large Utilities</v>
      </c>
      <c r="B138" s="101"/>
      <c r="C138" s="52">
        <f>$C32*'Deal Model'!C$45</f>
        <v>0</v>
      </c>
      <c r="D138" s="52">
        <f>$C32*'Deal Model'!D$45</f>
        <v>0</v>
      </c>
      <c r="E138" s="52">
        <f>$C32*'Deal Model'!E$45</f>
        <v>0</v>
      </c>
      <c r="F138" s="53">
        <f>$C32*'Deal Model'!F$45</f>
        <v>0</v>
      </c>
      <c r="G138" t="s">
        <v>50</v>
      </c>
    </row>
    <row r="139" spans="1:7" ht="15.75" thickBot="1">
      <c r="A139" s="77" t="s">
        <v>49</v>
      </c>
      <c r="B139" s="78">
        <f>B135+B131+B127+B123+B119</f>
        <v>0</v>
      </c>
      <c r="C139" s="79">
        <f t="shared" ref="C139:F139" si="35">C135+C131+C127+C123+C119</f>
        <v>4540000</v>
      </c>
      <c r="D139" s="79">
        <f t="shared" si="35"/>
        <v>940000</v>
      </c>
      <c r="E139" s="79">
        <f t="shared" si="35"/>
        <v>940000</v>
      </c>
      <c r="F139" s="80">
        <f t="shared" si="35"/>
        <v>540000</v>
      </c>
    </row>
    <row r="140" spans="1:7" ht="15.75" thickBot="1"/>
    <row r="141" spans="1:7">
      <c r="A141" s="208" t="s">
        <v>31</v>
      </c>
      <c r="B141" s="210" t="s">
        <v>55</v>
      </c>
      <c r="C141" s="211"/>
      <c r="D141" s="211"/>
      <c r="E141" s="211"/>
      <c r="F141" s="212"/>
    </row>
    <row r="142" spans="1:7" ht="15.75" thickBot="1">
      <c r="A142" s="209"/>
      <c r="B142" s="43">
        <f>Introduction!$B$11</f>
        <v>2017</v>
      </c>
      <c r="C142" s="44">
        <f>B142+1</f>
        <v>2018</v>
      </c>
      <c r="D142" s="44">
        <f>C142+1</f>
        <v>2019</v>
      </c>
      <c r="E142" s="44">
        <f>D142+1</f>
        <v>2020</v>
      </c>
      <c r="F142" s="45">
        <f>E142+1</f>
        <v>2021</v>
      </c>
    </row>
    <row r="143" spans="1:7" ht="15.75" thickBot="1">
      <c r="A143" s="49" t="s">
        <v>161</v>
      </c>
      <c r="B143" s="74">
        <f>SUM(B144:B146)</f>
        <v>0</v>
      </c>
      <c r="C143" s="75">
        <f>SUM(C144:C146)</f>
        <v>0</v>
      </c>
      <c r="D143" s="75">
        <f>SUM(D144:D146)</f>
        <v>2580000</v>
      </c>
      <c r="E143" s="75">
        <f>SUM(E144:E146)</f>
        <v>1530000</v>
      </c>
      <c r="F143" s="76">
        <f>SUM(F144:F146)</f>
        <v>980000</v>
      </c>
    </row>
    <row r="144" spans="1:7">
      <c r="A144" s="41" t="str">
        <f>'Deal Model'!$A$12</f>
        <v>Mid-sized Elec. Utilities Utilities</v>
      </c>
      <c r="B144" s="99"/>
      <c r="C144" s="102"/>
      <c r="D144" s="70">
        <f>$D14*'Deal Model'!C$21</f>
        <v>680000</v>
      </c>
      <c r="E144" s="70">
        <f>$D14*'Deal Model'!D$21</f>
        <v>180000</v>
      </c>
      <c r="F144" s="71">
        <f>$D14*'Deal Model'!E$21</f>
        <v>180000</v>
      </c>
      <c r="G144" t="s">
        <v>50</v>
      </c>
    </row>
    <row r="145" spans="1:7">
      <c r="A145" s="41" t="str">
        <f>'Deal Model'!$A$24</f>
        <v>Mid-sized Gas Utilities Utilities</v>
      </c>
      <c r="B145" s="100"/>
      <c r="C145" s="103"/>
      <c r="D145" s="50">
        <f>$D15*'Deal Model'!C$33</f>
        <v>0</v>
      </c>
      <c r="E145" s="50">
        <f>$D15*'Deal Model'!D$33</f>
        <v>0</v>
      </c>
      <c r="F145" s="51">
        <f>$D15*'Deal Model'!E$33</f>
        <v>0</v>
      </c>
      <c r="G145" t="s">
        <v>50</v>
      </c>
    </row>
    <row r="146" spans="1:7" ht="15.75" thickBot="1">
      <c r="A146" s="42" t="str">
        <f>'Deal Model'!$A$36</f>
        <v>Large Utilities</v>
      </c>
      <c r="B146" s="101"/>
      <c r="C146" s="104"/>
      <c r="D146" s="52">
        <f>$D16*'Deal Model'!C$45</f>
        <v>1900000</v>
      </c>
      <c r="E146" s="52">
        <f>$D16*'Deal Model'!D$45</f>
        <v>1350000</v>
      </c>
      <c r="F146" s="53">
        <f>$D16*'Deal Model'!E$45</f>
        <v>800000</v>
      </c>
      <c r="G146" t="s">
        <v>50</v>
      </c>
    </row>
    <row r="147" spans="1:7" ht="15.75" thickBot="1">
      <c r="A147" s="49" t="s">
        <v>162</v>
      </c>
      <c r="B147" s="85">
        <f>SUM(B148:B150)</f>
        <v>0</v>
      </c>
      <c r="C147" s="86">
        <f>SUM(C148:C150)</f>
        <v>0</v>
      </c>
      <c r="D147" s="86">
        <f>SUM(D148:D150)</f>
        <v>2580000</v>
      </c>
      <c r="E147" s="86">
        <f>SUM(E148:E150)</f>
        <v>1530000</v>
      </c>
      <c r="F147" s="87">
        <f>SUM(F148:F150)</f>
        <v>980000</v>
      </c>
    </row>
    <row r="148" spans="1:7">
      <c r="A148" s="41" t="str">
        <f>'Deal Model'!$A$12</f>
        <v>Mid-sized Elec. Utilities Utilities</v>
      </c>
      <c r="B148" s="99"/>
      <c r="C148" s="102"/>
      <c r="D148" s="70">
        <f>$D18*'Deal Model'!C$21</f>
        <v>680000</v>
      </c>
      <c r="E148" s="70">
        <f>$D18*'Deal Model'!D$21</f>
        <v>180000</v>
      </c>
      <c r="F148" s="71">
        <f>$D18*'Deal Model'!E$21</f>
        <v>180000</v>
      </c>
      <c r="G148" t="s">
        <v>50</v>
      </c>
    </row>
    <row r="149" spans="1:7">
      <c r="A149" s="41" t="str">
        <f>'Deal Model'!$A$24</f>
        <v>Mid-sized Gas Utilities Utilities</v>
      </c>
      <c r="B149" s="100"/>
      <c r="C149" s="103"/>
      <c r="D149" s="50">
        <f>$D19*'Deal Model'!C$33</f>
        <v>0</v>
      </c>
      <c r="E149" s="50">
        <f>$D19*'Deal Model'!D$33</f>
        <v>0</v>
      </c>
      <c r="F149" s="51">
        <f>$D19*'Deal Model'!E$33</f>
        <v>0</v>
      </c>
      <c r="G149" t="s">
        <v>50</v>
      </c>
    </row>
    <row r="150" spans="1:7" ht="15.75" thickBot="1">
      <c r="A150" s="42" t="str">
        <f>'Deal Model'!$A$36</f>
        <v>Large Utilities</v>
      </c>
      <c r="B150" s="101"/>
      <c r="C150" s="104"/>
      <c r="D150" s="52">
        <f>$D20*'Deal Model'!C$45</f>
        <v>1900000</v>
      </c>
      <c r="E150" s="52">
        <f>$D20*'Deal Model'!D$45</f>
        <v>1350000</v>
      </c>
      <c r="F150" s="53">
        <f>$D20*'Deal Model'!E$45</f>
        <v>800000</v>
      </c>
      <c r="G150" t="s">
        <v>50</v>
      </c>
    </row>
    <row r="151" spans="1:7" ht="15.75" thickBot="1">
      <c r="A151" s="49" t="s">
        <v>163</v>
      </c>
      <c r="B151" s="74">
        <f>SUM(B152:B154)</f>
        <v>0</v>
      </c>
      <c r="C151" s="75">
        <f>SUM(C152:C154)</f>
        <v>0</v>
      </c>
      <c r="D151" s="75">
        <f>SUM(D152:D154)</f>
        <v>1930000</v>
      </c>
      <c r="E151" s="75">
        <f>SUM(E152:E154)</f>
        <v>380000</v>
      </c>
      <c r="F151" s="76">
        <f>SUM(F152:F154)</f>
        <v>380000</v>
      </c>
    </row>
    <row r="152" spans="1:7">
      <c r="A152" s="41" t="str">
        <f>'Deal Model'!$A$12</f>
        <v>Mid-sized Elec. Utilities Utilities</v>
      </c>
      <c r="B152" s="99"/>
      <c r="C152" s="102"/>
      <c r="D152" s="70">
        <f>$D22*'Deal Model'!C$21</f>
        <v>680000</v>
      </c>
      <c r="E152" s="70">
        <f>$D22*'Deal Model'!D$21</f>
        <v>180000</v>
      </c>
      <c r="F152" s="71">
        <f>$D22*'Deal Model'!E$21</f>
        <v>180000</v>
      </c>
      <c r="G152" t="s">
        <v>50</v>
      </c>
    </row>
    <row r="153" spans="1:7">
      <c r="A153" s="41" t="str">
        <f>'Deal Model'!$A$24</f>
        <v>Mid-sized Gas Utilities Utilities</v>
      </c>
      <c r="B153" s="100"/>
      <c r="C153" s="103"/>
      <c r="D153" s="50">
        <f>$D23*'Deal Model'!C$33</f>
        <v>1250000</v>
      </c>
      <c r="E153" s="50">
        <f>$D23*'Deal Model'!D$33</f>
        <v>200000</v>
      </c>
      <c r="F153" s="51">
        <f>$D23*'Deal Model'!E$33</f>
        <v>200000</v>
      </c>
      <c r="G153" t="s">
        <v>50</v>
      </c>
    </row>
    <row r="154" spans="1:7" ht="15.75" thickBot="1">
      <c r="A154" s="42" t="str">
        <f>'Deal Model'!$A$36</f>
        <v>Large Utilities</v>
      </c>
      <c r="B154" s="101"/>
      <c r="C154" s="104"/>
      <c r="D154" s="52">
        <f>$D24*'Deal Model'!C$45</f>
        <v>0</v>
      </c>
      <c r="E154" s="52">
        <f>$D24*'Deal Model'!D$45</f>
        <v>0</v>
      </c>
      <c r="F154" s="53">
        <f>$D24*'Deal Model'!E$45</f>
        <v>0</v>
      </c>
      <c r="G154" t="s">
        <v>50</v>
      </c>
    </row>
    <row r="155" spans="1:7" ht="15.75" thickBot="1">
      <c r="A155" s="49" t="s">
        <v>164</v>
      </c>
      <c r="B155" s="74">
        <f>SUM(B156:B158)</f>
        <v>0</v>
      </c>
      <c r="C155" s="75">
        <f>SUM(C156:C158)</f>
        <v>0</v>
      </c>
      <c r="D155" s="75">
        <f>SUM(D156:D158)</f>
        <v>680000</v>
      </c>
      <c r="E155" s="75">
        <f>SUM(E156:E158)</f>
        <v>180000</v>
      </c>
      <c r="F155" s="76">
        <f>SUM(F156:F158)</f>
        <v>180000</v>
      </c>
    </row>
    <row r="156" spans="1:7">
      <c r="A156" s="41" t="str">
        <f>'Deal Model'!$A$12</f>
        <v>Mid-sized Elec. Utilities Utilities</v>
      </c>
      <c r="B156" s="99"/>
      <c r="C156" s="102"/>
      <c r="D156" s="70">
        <f>$D26*'Deal Model'!C$21</f>
        <v>680000</v>
      </c>
      <c r="E156" s="70">
        <f>$D26*'Deal Model'!D$21</f>
        <v>180000</v>
      </c>
      <c r="F156" s="71">
        <f>$D26*'Deal Model'!E$21</f>
        <v>180000</v>
      </c>
      <c r="G156" t="s">
        <v>50</v>
      </c>
    </row>
    <row r="157" spans="1:7">
      <c r="A157" s="41" t="str">
        <f>'Deal Model'!$A$24</f>
        <v>Mid-sized Gas Utilities Utilities</v>
      </c>
      <c r="B157" s="100"/>
      <c r="C157" s="103"/>
      <c r="D157" s="50">
        <f>$D27*'Deal Model'!C$33</f>
        <v>0</v>
      </c>
      <c r="E157" s="50">
        <f>$D27*'Deal Model'!D$33</f>
        <v>0</v>
      </c>
      <c r="F157" s="51">
        <f>$D27*'Deal Model'!E$33</f>
        <v>0</v>
      </c>
      <c r="G157" t="s">
        <v>50</v>
      </c>
    </row>
    <row r="158" spans="1:7" ht="15.75" thickBot="1">
      <c r="A158" s="42" t="str">
        <f>'Deal Model'!$A$36</f>
        <v>Large Utilities</v>
      </c>
      <c r="B158" s="101"/>
      <c r="C158" s="104"/>
      <c r="D158" s="52">
        <f>$D28*'Deal Model'!C$45</f>
        <v>0</v>
      </c>
      <c r="E158" s="52">
        <f>$D28*'Deal Model'!D$45</f>
        <v>0</v>
      </c>
      <c r="F158" s="53">
        <f>$D28*'Deal Model'!E$45</f>
        <v>0</v>
      </c>
      <c r="G158" t="s">
        <v>50</v>
      </c>
    </row>
    <row r="159" spans="1:7" ht="15.75" thickBot="1">
      <c r="A159" s="49" t="s">
        <v>165</v>
      </c>
      <c r="B159" s="74">
        <f>SUM(B160:B162)</f>
        <v>0</v>
      </c>
      <c r="C159" s="75">
        <f>SUM(C160:C162)</f>
        <v>0</v>
      </c>
      <c r="D159" s="75">
        <f>SUM(D160:D162)</f>
        <v>0</v>
      </c>
      <c r="E159" s="75">
        <f>SUM(E160:E162)</f>
        <v>0</v>
      </c>
      <c r="F159" s="76">
        <f>SUM(F160:F162)</f>
        <v>0</v>
      </c>
    </row>
    <row r="160" spans="1:7">
      <c r="A160" s="41" t="str">
        <f>'Deal Model'!$A$12</f>
        <v>Mid-sized Elec. Utilities Utilities</v>
      </c>
      <c r="B160" s="99"/>
      <c r="C160" s="102"/>
      <c r="D160" s="70">
        <f>$D30*'Deal Model'!C$21</f>
        <v>0</v>
      </c>
      <c r="E160" s="70">
        <f>$D30*'Deal Model'!D$21</f>
        <v>0</v>
      </c>
      <c r="F160" s="71">
        <f>$D30*'Deal Model'!E$21</f>
        <v>0</v>
      </c>
      <c r="G160" t="s">
        <v>50</v>
      </c>
    </row>
    <row r="161" spans="1:7">
      <c r="A161" s="41" t="str">
        <f>'Deal Model'!$A$24</f>
        <v>Mid-sized Gas Utilities Utilities</v>
      </c>
      <c r="B161" s="100"/>
      <c r="C161" s="103"/>
      <c r="D161" s="50">
        <f>$D31*'Deal Model'!C$33</f>
        <v>0</v>
      </c>
      <c r="E161" s="50">
        <f>$D31*'Deal Model'!D$33</f>
        <v>0</v>
      </c>
      <c r="F161" s="51">
        <f>$D31*'Deal Model'!E$33</f>
        <v>0</v>
      </c>
      <c r="G161" t="s">
        <v>50</v>
      </c>
    </row>
    <row r="162" spans="1:7" ht="15.75" thickBot="1">
      <c r="A162" s="42" t="str">
        <f>'Deal Model'!$A$36</f>
        <v>Large Utilities</v>
      </c>
      <c r="B162" s="101"/>
      <c r="C162" s="104"/>
      <c r="D162" s="52">
        <f>$D32*'Deal Model'!C$45</f>
        <v>0</v>
      </c>
      <c r="E162" s="52">
        <f>$D32*'Deal Model'!D$45</f>
        <v>0</v>
      </c>
      <c r="F162" s="53">
        <f>$D32*'Deal Model'!E$45</f>
        <v>0</v>
      </c>
      <c r="G162" t="s">
        <v>50</v>
      </c>
    </row>
    <row r="163" spans="1:7" ht="15.75" thickBot="1">
      <c r="A163" s="77" t="s">
        <v>49</v>
      </c>
      <c r="B163" s="78">
        <f>B159+B155+B151+B147+B143</f>
        <v>0</v>
      </c>
      <c r="C163" s="79">
        <f t="shared" ref="C163:F163" si="36">C159+C155+C151+C147+C143</f>
        <v>0</v>
      </c>
      <c r="D163" s="79">
        <f t="shared" si="36"/>
        <v>7770000</v>
      </c>
      <c r="E163" s="79">
        <f t="shared" si="36"/>
        <v>3620000</v>
      </c>
      <c r="F163" s="80">
        <f t="shared" si="36"/>
        <v>2520000</v>
      </c>
    </row>
    <row r="164" spans="1:7" ht="15.75" thickBot="1"/>
    <row r="165" spans="1:7">
      <c r="A165" s="208" t="s">
        <v>31</v>
      </c>
      <c r="B165" s="210" t="s">
        <v>56</v>
      </c>
      <c r="C165" s="211"/>
      <c r="D165" s="211"/>
      <c r="E165" s="211"/>
      <c r="F165" s="212"/>
    </row>
    <row r="166" spans="1:7" ht="15.75" thickBot="1">
      <c r="A166" s="209"/>
      <c r="B166" s="43">
        <f>Introduction!$B$11</f>
        <v>2017</v>
      </c>
      <c r="C166" s="44">
        <f>B166+1</f>
        <v>2018</v>
      </c>
      <c r="D166" s="44">
        <f>C166+1</f>
        <v>2019</v>
      </c>
      <c r="E166" s="44">
        <f>D166+1</f>
        <v>2020</v>
      </c>
      <c r="F166" s="45">
        <f>E166+1</f>
        <v>2021</v>
      </c>
    </row>
    <row r="167" spans="1:7" ht="15.75" thickBot="1">
      <c r="A167" s="49" t="s">
        <v>161</v>
      </c>
      <c r="B167" s="74">
        <f>SUM(B168:B170)</f>
        <v>0</v>
      </c>
      <c r="C167" s="75">
        <f>SUM(C168:C170)</f>
        <v>0</v>
      </c>
      <c r="D167" s="75">
        <f>SUM(D168:D170)</f>
        <v>0</v>
      </c>
      <c r="E167" s="75">
        <f>SUM(E168:E170)</f>
        <v>2610000</v>
      </c>
      <c r="F167" s="76">
        <f>SUM(F168:F170)</f>
        <v>560000</v>
      </c>
    </row>
    <row r="168" spans="1:7">
      <c r="A168" s="41" t="str">
        <f>'Deal Model'!$A$12</f>
        <v>Mid-sized Elec. Utilities Utilities</v>
      </c>
      <c r="B168" s="105"/>
      <c r="C168" s="102"/>
      <c r="D168" s="102"/>
      <c r="E168" s="70">
        <f>$E14*'Deal Model'!C$21</f>
        <v>1360000</v>
      </c>
      <c r="F168" s="71">
        <f>$E14*'Deal Model'!D$21</f>
        <v>360000</v>
      </c>
      <c r="G168" t="s">
        <v>50</v>
      </c>
    </row>
    <row r="169" spans="1:7">
      <c r="A169" s="41" t="str">
        <f>'Deal Model'!$A$24</f>
        <v>Mid-sized Gas Utilities Utilities</v>
      </c>
      <c r="B169" s="106"/>
      <c r="C169" s="103"/>
      <c r="D169" s="103"/>
      <c r="E169" s="50">
        <f>$E15*'Deal Model'!C$33</f>
        <v>1250000</v>
      </c>
      <c r="F169" s="51">
        <f>$E15*'Deal Model'!D$33</f>
        <v>200000</v>
      </c>
      <c r="G169" t="s">
        <v>50</v>
      </c>
    </row>
    <row r="170" spans="1:7" ht="15.75" thickBot="1">
      <c r="A170" s="42" t="str">
        <f>'Deal Model'!$A$36</f>
        <v>Large Utilities</v>
      </c>
      <c r="B170" s="107"/>
      <c r="C170" s="104"/>
      <c r="D170" s="104"/>
      <c r="E170" s="52">
        <f>$E16*'Deal Model'!C$45</f>
        <v>0</v>
      </c>
      <c r="F170" s="53">
        <f>$E16*'Deal Model'!D$45</f>
        <v>0</v>
      </c>
      <c r="G170" t="s">
        <v>50</v>
      </c>
    </row>
    <row r="171" spans="1:7" ht="15.75" thickBot="1">
      <c r="A171" s="49" t="s">
        <v>162</v>
      </c>
      <c r="B171" s="85">
        <f>SUM(B172:B174)</f>
        <v>0</v>
      </c>
      <c r="C171" s="86">
        <f>SUM(C172:C174)</f>
        <v>0</v>
      </c>
      <c r="D171" s="86">
        <f>SUM(D172:D174)</f>
        <v>0</v>
      </c>
      <c r="E171" s="86">
        <f>SUM(E172:E174)</f>
        <v>2610000</v>
      </c>
      <c r="F171" s="87">
        <f>SUM(F172:F174)</f>
        <v>560000</v>
      </c>
    </row>
    <row r="172" spans="1:7">
      <c r="A172" s="41" t="str">
        <f>'Deal Model'!$A$12</f>
        <v>Mid-sized Elec. Utilities Utilities</v>
      </c>
      <c r="B172" s="105"/>
      <c r="C172" s="102"/>
      <c r="D172" s="102"/>
      <c r="E172" s="70">
        <f>$E18*'Deal Model'!C$21</f>
        <v>1360000</v>
      </c>
      <c r="F172" s="71">
        <f>$E18*'Deal Model'!D$21</f>
        <v>360000</v>
      </c>
      <c r="G172" t="s">
        <v>50</v>
      </c>
    </row>
    <row r="173" spans="1:7">
      <c r="A173" s="41" t="str">
        <f>'Deal Model'!$A$24</f>
        <v>Mid-sized Gas Utilities Utilities</v>
      </c>
      <c r="B173" s="106"/>
      <c r="C173" s="103"/>
      <c r="D173" s="103"/>
      <c r="E173" s="50">
        <f>$E19*'Deal Model'!C$33</f>
        <v>1250000</v>
      </c>
      <c r="F173" s="51">
        <f>$E19*'Deal Model'!D$33</f>
        <v>200000</v>
      </c>
      <c r="G173" t="s">
        <v>50</v>
      </c>
    </row>
    <row r="174" spans="1:7" ht="15.75" thickBot="1">
      <c r="A174" s="42" t="str">
        <f>'Deal Model'!$A$36</f>
        <v>Large Utilities</v>
      </c>
      <c r="B174" s="107"/>
      <c r="C174" s="104"/>
      <c r="D174" s="104"/>
      <c r="E174" s="52">
        <f>$E20*'Deal Model'!C$45</f>
        <v>0</v>
      </c>
      <c r="F174" s="53">
        <f>$E20*'Deal Model'!D$45</f>
        <v>0</v>
      </c>
      <c r="G174" t="s">
        <v>50</v>
      </c>
    </row>
    <row r="175" spans="1:7" ht="15.75" thickBot="1">
      <c r="A175" s="49" t="s">
        <v>163</v>
      </c>
      <c r="B175" s="74">
        <f>SUM(B176:B178)</f>
        <v>0</v>
      </c>
      <c r="C175" s="75">
        <f>SUM(C176:C178)</f>
        <v>0</v>
      </c>
      <c r="D175" s="75">
        <f>SUM(D176:D178)</f>
        <v>0</v>
      </c>
      <c r="E175" s="75">
        <f>SUM(E176:E178)</f>
        <v>2580000</v>
      </c>
      <c r="F175" s="76">
        <f>SUM(F176:F178)</f>
        <v>1530000</v>
      </c>
    </row>
    <row r="176" spans="1:7">
      <c r="A176" s="41" t="str">
        <f>'Deal Model'!$A$12</f>
        <v>Mid-sized Elec. Utilities Utilities</v>
      </c>
      <c r="B176" s="105"/>
      <c r="C176" s="102"/>
      <c r="D176" s="102"/>
      <c r="E176" s="70">
        <f>$E22*'Deal Model'!C$21</f>
        <v>680000</v>
      </c>
      <c r="F176" s="71">
        <f>$E22*'Deal Model'!D$21</f>
        <v>180000</v>
      </c>
      <c r="G176" t="s">
        <v>50</v>
      </c>
    </row>
    <row r="177" spans="1:7">
      <c r="A177" s="41" t="str">
        <f>'Deal Model'!$A$24</f>
        <v>Mid-sized Gas Utilities Utilities</v>
      </c>
      <c r="B177" s="106"/>
      <c r="C177" s="103"/>
      <c r="D177" s="103"/>
      <c r="E177" s="50">
        <f>$E23*'Deal Model'!C$33</f>
        <v>0</v>
      </c>
      <c r="F177" s="51">
        <f>$E23*'Deal Model'!D$33</f>
        <v>0</v>
      </c>
      <c r="G177" t="s">
        <v>50</v>
      </c>
    </row>
    <row r="178" spans="1:7" ht="15.75" thickBot="1">
      <c r="A178" s="42" t="str">
        <f>'Deal Model'!$A$36</f>
        <v>Large Utilities</v>
      </c>
      <c r="B178" s="107"/>
      <c r="C178" s="104"/>
      <c r="D178" s="104"/>
      <c r="E178" s="52">
        <f>$E24*'Deal Model'!C$45</f>
        <v>1900000</v>
      </c>
      <c r="F178" s="53">
        <f>$E24*'Deal Model'!D$45</f>
        <v>1350000</v>
      </c>
      <c r="G178" t="s">
        <v>50</v>
      </c>
    </row>
    <row r="179" spans="1:7" ht="15.75" thickBot="1">
      <c r="A179" s="49" t="s">
        <v>164</v>
      </c>
      <c r="B179" s="74">
        <f>SUM(B180:B182)</f>
        <v>0</v>
      </c>
      <c r="C179" s="75">
        <f>SUM(C180:C182)</f>
        <v>0</v>
      </c>
      <c r="D179" s="75">
        <f>SUM(D180:D182)</f>
        <v>0</v>
      </c>
      <c r="E179" s="75">
        <f>SUM(E180:E182)</f>
        <v>1930000</v>
      </c>
      <c r="F179" s="76">
        <f>SUM(F180:F182)</f>
        <v>380000</v>
      </c>
    </row>
    <row r="180" spans="1:7">
      <c r="A180" s="41" t="str">
        <f>'Deal Model'!$A$12</f>
        <v>Mid-sized Elec. Utilities Utilities</v>
      </c>
      <c r="B180" s="105"/>
      <c r="C180" s="102"/>
      <c r="D180" s="102"/>
      <c r="E180" s="70">
        <f>$E26*'Deal Model'!C$21</f>
        <v>680000</v>
      </c>
      <c r="F180" s="71">
        <f>$E26*'Deal Model'!D$21</f>
        <v>180000</v>
      </c>
      <c r="G180" t="s">
        <v>50</v>
      </c>
    </row>
    <row r="181" spans="1:7">
      <c r="A181" s="41" t="str">
        <f>'Deal Model'!$A$24</f>
        <v>Mid-sized Gas Utilities Utilities</v>
      </c>
      <c r="B181" s="106"/>
      <c r="C181" s="103"/>
      <c r="D181" s="103"/>
      <c r="E181" s="50">
        <f>$E27*'Deal Model'!C$33</f>
        <v>1250000</v>
      </c>
      <c r="F181" s="51">
        <f>$E27*'Deal Model'!D$33</f>
        <v>200000</v>
      </c>
      <c r="G181" t="s">
        <v>50</v>
      </c>
    </row>
    <row r="182" spans="1:7" ht="15.75" thickBot="1">
      <c r="A182" s="42" t="str">
        <f>'Deal Model'!$A$36</f>
        <v>Large Utilities</v>
      </c>
      <c r="B182" s="107"/>
      <c r="C182" s="104"/>
      <c r="D182" s="104"/>
      <c r="E182" s="52">
        <f>$E28*'Deal Model'!C$45</f>
        <v>0</v>
      </c>
      <c r="F182" s="53">
        <f>$E28*'Deal Model'!D$45</f>
        <v>0</v>
      </c>
      <c r="G182" t="s">
        <v>50</v>
      </c>
    </row>
    <row r="183" spans="1:7" ht="15.75" thickBot="1">
      <c r="A183" s="49" t="s">
        <v>165</v>
      </c>
      <c r="B183" s="74">
        <f>SUM(B184:B186)</f>
        <v>0</v>
      </c>
      <c r="C183" s="75">
        <f>SUM(C184:C186)</f>
        <v>0</v>
      </c>
      <c r="D183" s="75">
        <f>SUM(D184:D186)</f>
        <v>0</v>
      </c>
      <c r="E183" s="75">
        <f>SUM(E184:E186)</f>
        <v>680000</v>
      </c>
      <c r="F183" s="76">
        <f>SUM(F184:F186)</f>
        <v>180000</v>
      </c>
    </row>
    <row r="184" spans="1:7">
      <c r="A184" s="41" t="str">
        <f>'Deal Model'!$A$12</f>
        <v>Mid-sized Elec. Utilities Utilities</v>
      </c>
      <c r="B184" s="105"/>
      <c r="C184" s="102"/>
      <c r="D184" s="102"/>
      <c r="E184" s="70">
        <f>$E30*'Deal Model'!C$21</f>
        <v>680000</v>
      </c>
      <c r="F184" s="71">
        <f>$E30*'Deal Model'!D$21</f>
        <v>180000</v>
      </c>
      <c r="G184" t="s">
        <v>50</v>
      </c>
    </row>
    <row r="185" spans="1:7">
      <c r="A185" s="41" t="str">
        <f>'Deal Model'!$A$24</f>
        <v>Mid-sized Gas Utilities Utilities</v>
      </c>
      <c r="B185" s="106"/>
      <c r="C185" s="103"/>
      <c r="D185" s="103"/>
      <c r="E185" s="50">
        <f>$E31*'Deal Model'!C$33</f>
        <v>0</v>
      </c>
      <c r="F185" s="51">
        <f>$E31*'Deal Model'!D$33</f>
        <v>0</v>
      </c>
      <c r="G185" t="s">
        <v>50</v>
      </c>
    </row>
    <row r="186" spans="1:7" ht="15.75" thickBot="1">
      <c r="A186" s="42" t="str">
        <f>'Deal Model'!$A$36</f>
        <v>Large Utilities</v>
      </c>
      <c r="B186" s="107"/>
      <c r="C186" s="104"/>
      <c r="D186" s="104"/>
      <c r="E186" s="52">
        <f>$E32*'Deal Model'!C$45</f>
        <v>0</v>
      </c>
      <c r="F186" s="53">
        <f>$E32*'Deal Model'!D$45</f>
        <v>0</v>
      </c>
      <c r="G186" t="s">
        <v>50</v>
      </c>
    </row>
    <row r="187" spans="1:7" ht="15.75" thickBot="1">
      <c r="A187" s="77" t="s">
        <v>49</v>
      </c>
      <c r="B187" s="78">
        <f>B183+B179+B175+B171+B167</f>
        <v>0</v>
      </c>
      <c r="C187" s="79">
        <f t="shared" ref="C187:F187" si="37">C183+C179+C175+C171+C167</f>
        <v>0</v>
      </c>
      <c r="D187" s="79">
        <f t="shared" si="37"/>
        <v>0</v>
      </c>
      <c r="E187" s="79">
        <f t="shared" si="37"/>
        <v>10410000</v>
      </c>
      <c r="F187" s="80">
        <f t="shared" si="37"/>
        <v>3210000</v>
      </c>
    </row>
    <row r="188" spans="1:7" ht="15.75" thickBot="1"/>
    <row r="189" spans="1:7">
      <c r="A189" s="208" t="s">
        <v>31</v>
      </c>
      <c r="B189" s="210" t="s">
        <v>57</v>
      </c>
      <c r="C189" s="211"/>
      <c r="D189" s="211"/>
      <c r="E189" s="211"/>
      <c r="F189" s="212"/>
    </row>
    <row r="190" spans="1:7" ht="15.75" thickBot="1">
      <c r="A190" s="209"/>
      <c r="B190" s="43">
        <f>Introduction!$B$11</f>
        <v>2017</v>
      </c>
      <c r="C190" s="44">
        <f>B190+1</f>
        <v>2018</v>
      </c>
      <c r="D190" s="44">
        <f>C190+1</f>
        <v>2019</v>
      </c>
      <c r="E190" s="44">
        <f>D190+1</f>
        <v>2020</v>
      </c>
      <c r="F190" s="45">
        <f>E190+1</f>
        <v>2021</v>
      </c>
    </row>
    <row r="191" spans="1:7" ht="15.75" thickBot="1">
      <c r="A191" s="49" t="s">
        <v>161</v>
      </c>
      <c r="B191" s="74">
        <f>SUM(B192:B194)</f>
        <v>0</v>
      </c>
      <c r="C191" s="75">
        <f>SUM(C192:C194)</f>
        <v>0</v>
      </c>
      <c r="D191" s="75">
        <f>SUM(D192:D194)</f>
        <v>0</v>
      </c>
      <c r="E191" s="75">
        <f>SUM(E192:E194)</f>
        <v>0</v>
      </c>
      <c r="F191" s="76">
        <f>SUM(F192:F194)</f>
        <v>2610000</v>
      </c>
    </row>
    <row r="192" spans="1:7">
      <c r="A192" s="41" t="str">
        <f>'Deal Model'!$A$12</f>
        <v>Mid-sized Elec. Utilities Utilities</v>
      </c>
      <c r="B192" s="105"/>
      <c r="C192" s="102"/>
      <c r="D192" s="102"/>
      <c r="E192" s="102"/>
      <c r="F192" s="71">
        <f>$E14*'Deal Model'!C$21</f>
        <v>1360000</v>
      </c>
      <c r="G192" t="s">
        <v>50</v>
      </c>
    </row>
    <row r="193" spans="1:7">
      <c r="A193" s="41" t="str">
        <f>'Deal Model'!$A$24</f>
        <v>Mid-sized Gas Utilities Utilities</v>
      </c>
      <c r="B193" s="106"/>
      <c r="C193" s="103"/>
      <c r="D193" s="103"/>
      <c r="E193" s="103"/>
      <c r="F193" s="51">
        <f>$E15*'Deal Model'!C$33</f>
        <v>1250000</v>
      </c>
      <c r="G193" t="s">
        <v>50</v>
      </c>
    </row>
    <row r="194" spans="1:7" ht="15.75" thickBot="1">
      <c r="A194" s="42" t="str">
        <f>'Deal Model'!$A$36</f>
        <v>Large Utilities</v>
      </c>
      <c r="B194" s="107"/>
      <c r="C194" s="104"/>
      <c r="D194" s="104"/>
      <c r="E194" s="104"/>
      <c r="F194" s="53">
        <f>$E16*'Deal Model'!C$45</f>
        <v>0</v>
      </c>
      <c r="G194" t="s">
        <v>50</v>
      </c>
    </row>
    <row r="195" spans="1:7" ht="15.75" thickBot="1">
      <c r="A195" s="49" t="s">
        <v>162</v>
      </c>
      <c r="B195" s="85">
        <f>SUM(B196:B198)</f>
        <v>0</v>
      </c>
      <c r="C195" s="86">
        <f>SUM(C196:C198)</f>
        <v>0</v>
      </c>
      <c r="D195" s="86">
        <f>SUM(D196:D198)</f>
        <v>0</v>
      </c>
      <c r="E195" s="86">
        <f>SUM(E196:E198)</f>
        <v>0</v>
      </c>
      <c r="F195" s="87">
        <f>SUM(F196:F198)</f>
        <v>2610000</v>
      </c>
    </row>
    <row r="196" spans="1:7">
      <c r="A196" s="41" t="str">
        <f>'Deal Model'!$A$12</f>
        <v>Mid-sized Elec. Utilities Utilities</v>
      </c>
      <c r="B196" s="105"/>
      <c r="C196" s="102"/>
      <c r="D196" s="102"/>
      <c r="E196" s="102"/>
      <c r="F196" s="71">
        <f>$E18*'Deal Model'!C$21</f>
        <v>1360000</v>
      </c>
      <c r="G196" t="s">
        <v>50</v>
      </c>
    </row>
    <row r="197" spans="1:7">
      <c r="A197" s="41" t="str">
        <f>'Deal Model'!$A$24</f>
        <v>Mid-sized Gas Utilities Utilities</v>
      </c>
      <c r="B197" s="106"/>
      <c r="C197" s="103"/>
      <c r="D197" s="103"/>
      <c r="E197" s="103"/>
      <c r="F197" s="51">
        <f>$E19*'Deal Model'!C$33</f>
        <v>1250000</v>
      </c>
      <c r="G197" t="s">
        <v>50</v>
      </c>
    </row>
    <row r="198" spans="1:7" ht="15.75" thickBot="1">
      <c r="A198" s="42" t="str">
        <f>'Deal Model'!$A$36</f>
        <v>Large Utilities</v>
      </c>
      <c r="B198" s="107"/>
      <c r="C198" s="104"/>
      <c r="D198" s="104"/>
      <c r="E198" s="104"/>
      <c r="F198" s="53">
        <f>$E20*'Deal Model'!C$45</f>
        <v>0</v>
      </c>
      <c r="G198" t="s">
        <v>50</v>
      </c>
    </row>
    <row r="199" spans="1:7" ht="15.75" thickBot="1">
      <c r="A199" s="49" t="s">
        <v>163</v>
      </c>
      <c r="B199" s="74">
        <f>SUM(B200:B202)</f>
        <v>0</v>
      </c>
      <c r="C199" s="75">
        <f>SUM(C200:C202)</f>
        <v>0</v>
      </c>
      <c r="D199" s="75">
        <f>SUM(D200:D202)</f>
        <v>0</v>
      </c>
      <c r="E199" s="75">
        <f>SUM(E200:E202)</f>
        <v>0</v>
      </c>
      <c r="F199" s="76">
        <f>SUM(F200:F202)</f>
        <v>2580000</v>
      </c>
    </row>
    <row r="200" spans="1:7">
      <c r="A200" s="41" t="str">
        <f>'Deal Model'!$A$12</f>
        <v>Mid-sized Elec. Utilities Utilities</v>
      </c>
      <c r="B200" s="105"/>
      <c r="C200" s="102"/>
      <c r="D200" s="102"/>
      <c r="E200" s="102"/>
      <c r="F200" s="71">
        <f>$E22*'Deal Model'!C$21</f>
        <v>680000</v>
      </c>
      <c r="G200" t="s">
        <v>50</v>
      </c>
    </row>
    <row r="201" spans="1:7">
      <c r="A201" s="41" t="str">
        <f>'Deal Model'!$A$24</f>
        <v>Mid-sized Gas Utilities Utilities</v>
      </c>
      <c r="B201" s="106"/>
      <c r="C201" s="103"/>
      <c r="D201" s="103"/>
      <c r="E201" s="103"/>
      <c r="F201" s="51">
        <f>$E23*'Deal Model'!C$33</f>
        <v>0</v>
      </c>
      <c r="G201" t="s">
        <v>50</v>
      </c>
    </row>
    <row r="202" spans="1:7" ht="15.75" thickBot="1">
      <c r="A202" s="42" t="str">
        <f>'Deal Model'!$A$36</f>
        <v>Large Utilities</v>
      </c>
      <c r="B202" s="107"/>
      <c r="C202" s="104"/>
      <c r="D202" s="104"/>
      <c r="E202" s="104"/>
      <c r="F202" s="53">
        <f>$E24*'Deal Model'!C$45</f>
        <v>1900000</v>
      </c>
      <c r="G202" t="s">
        <v>50</v>
      </c>
    </row>
    <row r="203" spans="1:7" ht="15.75" thickBot="1">
      <c r="A203" s="49" t="s">
        <v>164</v>
      </c>
      <c r="B203" s="74">
        <f>SUM(B204:B206)</f>
        <v>0</v>
      </c>
      <c r="C203" s="75">
        <f>SUM(C204:C206)</f>
        <v>0</v>
      </c>
      <c r="D203" s="75">
        <f>SUM(D204:D206)</f>
        <v>0</v>
      </c>
      <c r="E203" s="75">
        <f>SUM(E204:E206)</f>
        <v>0</v>
      </c>
      <c r="F203" s="76">
        <f>SUM(F204:F206)</f>
        <v>1930000</v>
      </c>
    </row>
    <row r="204" spans="1:7">
      <c r="A204" s="41" t="str">
        <f>'Deal Model'!$A$12</f>
        <v>Mid-sized Elec. Utilities Utilities</v>
      </c>
      <c r="B204" s="105"/>
      <c r="C204" s="102"/>
      <c r="D204" s="102"/>
      <c r="E204" s="102"/>
      <c r="F204" s="71">
        <f>$E26*'Deal Model'!C$21</f>
        <v>680000</v>
      </c>
      <c r="G204" t="s">
        <v>50</v>
      </c>
    </row>
    <row r="205" spans="1:7">
      <c r="A205" s="41" t="str">
        <f>'Deal Model'!$A$24</f>
        <v>Mid-sized Gas Utilities Utilities</v>
      </c>
      <c r="B205" s="106"/>
      <c r="C205" s="103"/>
      <c r="D205" s="103"/>
      <c r="E205" s="103"/>
      <c r="F205" s="51">
        <f>$E27*'Deal Model'!C$33</f>
        <v>1250000</v>
      </c>
      <c r="G205" t="s">
        <v>50</v>
      </c>
    </row>
    <row r="206" spans="1:7" ht="15.75" thickBot="1">
      <c r="A206" s="42" t="str">
        <f>'Deal Model'!$A$36</f>
        <v>Large Utilities</v>
      </c>
      <c r="B206" s="107"/>
      <c r="C206" s="104"/>
      <c r="D206" s="104"/>
      <c r="E206" s="104"/>
      <c r="F206" s="53">
        <f>$E28*'Deal Model'!C$45</f>
        <v>0</v>
      </c>
      <c r="G206" t="s">
        <v>50</v>
      </c>
    </row>
    <row r="207" spans="1:7" ht="15.75" thickBot="1">
      <c r="A207" s="49" t="s">
        <v>165</v>
      </c>
      <c r="B207" s="74">
        <f>SUM(B208:B210)</f>
        <v>0</v>
      </c>
      <c r="C207" s="75">
        <f>SUM(C208:C210)</f>
        <v>0</v>
      </c>
      <c r="D207" s="75">
        <f>SUM(D208:D210)</f>
        <v>0</v>
      </c>
      <c r="E207" s="75">
        <f>SUM(E208:E210)</f>
        <v>0</v>
      </c>
      <c r="F207" s="76">
        <f>SUM(F208:F210)</f>
        <v>680000</v>
      </c>
    </row>
    <row r="208" spans="1:7">
      <c r="A208" s="41" t="str">
        <f>'Deal Model'!$A$12</f>
        <v>Mid-sized Elec. Utilities Utilities</v>
      </c>
      <c r="B208" s="105"/>
      <c r="C208" s="102"/>
      <c r="D208" s="102"/>
      <c r="E208" s="102"/>
      <c r="F208" s="71">
        <f>$E30*'Deal Model'!C$21</f>
        <v>680000</v>
      </c>
      <c r="G208" t="s">
        <v>50</v>
      </c>
    </row>
    <row r="209" spans="1:7">
      <c r="A209" s="41" t="str">
        <f>'Deal Model'!$A$24</f>
        <v>Mid-sized Gas Utilities Utilities</v>
      </c>
      <c r="B209" s="106"/>
      <c r="C209" s="103"/>
      <c r="D209" s="103"/>
      <c r="E209" s="103"/>
      <c r="F209" s="51">
        <f>$E31*'Deal Model'!C$33</f>
        <v>0</v>
      </c>
      <c r="G209" t="s">
        <v>50</v>
      </c>
    </row>
    <row r="210" spans="1:7" ht="15.75" thickBot="1">
      <c r="A210" s="42" t="str">
        <f>'Deal Model'!$A$36</f>
        <v>Large Utilities</v>
      </c>
      <c r="B210" s="107"/>
      <c r="C210" s="104"/>
      <c r="D210" s="104"/>
      <c r="E210" s="104"/>
      <c r="F210" s="53">
        <f>$E32*'Deal Model'!C$45</f>
        <v>0</v>
      </c>
      <c r="G210" t="s">
        <v>50</v>
      </c>
    </row>
    <row r="211" spans="1:7" ht="15.75" thickBot="1">
      <c r="A211" s="77" t="s">
        <v>49</v>
      </c>
      <c r="B211" s="78">
        <f>B207+B203+B199+B195+B191</f>
        <v>0</v>
      </c>
      <c r="C211" s="79">
        <f t="shared" ref="C211:F211" si="38">C207+C203+C199+C195+C191</f>
        <v>0</v>
      </c>
      <c r="D211" s="79">
        <f t="shared" si="38"/>
        <v>0</v>
      </c>
      <c r="E211" s="79">
        <f t="shared" si="38"/>
        <v>0</v>
      </c>
      <c r="F211" s="80">
        <f t="shared" si="38"/>
        <v>10410000</v>
      </c>
    </row>
  </sheetData>
  <mergeCells count="18">
    <mergeCell ref="A65:A66"/>
    <mergeCell ref="B65:F65"/>
    <mergeCell ref="A93:A94"/>
    <mergeCell ref="B93:F93"/>
    <mergeCell ref="A189:A190"/>
    <mergeCell ref="B189:F189"/>
    <mergeCell ref="A117:A118"/>
    <mergeCell ref="B117:F117"/>
    <mergeCell ref="A141:A142"/>
    <mergeCell ref="B141:F141"/>
    <mergeCell ref="A165:A166"/>
    <mergeCell ref="B165:F165"/>
    <mergeCell ref="A11:A12"/>
    <mergeCell ref="B11:F11"/>
    <mergeCell ref="I11:I12"/>
    <mergeCell ref="J11:N11"/>
    <mergeCell ref="A38:A39"/>
    <mergeCell ref="B38:F38"/>
  </mergeCell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dimension ref="A2:P74"/>
  <sheetViews>
    <sheetView workbookViewId="0">
      <selection activeCell="A29" sqref="A29"/>
    </sheetView>
  </sheetViews>
  <sheetFormatPr defaultRowHeight="15"/>
  <cols>
    <col min="1" max="1" width="42.5703125" bestFit="1" customWidth="1"/>
    <col min="2" max="6" width="13.42578125" customWidth="1"/>
  </cols>
  <sheetData>
    <row r="2" spans="1:16">
      <c r="A2" s="135" t="s">
        <v>147</v>
      </c>
    </row>
    <row r="3" spans="1:16">
      <c r="A3" s="135" t="s">
        <v>148</v>
      </c>
    </row>
    <row r="4" spans="1:16">
      <c r="A4" s="135" t="s">
        <v>133</v>
      </c>
    </row>
    <row r="5" spans="1:16">
      <c r="A5" s="135" t="s">
        <v>145</v>
      </c>
    </row>
    <row r="7" spans="1:16" s="39" customFormat="1" ht="18.75">
      <c r="A7" s="38" t="s">
        <v>62</v>
      </c>
      <c r="B7" s="38" t="str">
        <f>Introduction!B9</f>
        <v>EXAMPLE IP SOLUTION</v>
      </c>
      <c r="C7" s="38"/>
      <c r="D7" s="38"/>
      <c r="E7" s="38"/>
      <c r="F7" s="38"/>
      <c r="G7" s="38"/>
      <c r="H7" s="38"/>
      <c r="I7" s="38"/>
      <c r="J7" s="38"/>
      <c r="K7" s="38"/>
      <c r="L7" s="38"/>
      <c r="M7" s="38"/>
      <c r="N7" s="38"/>
      <c r="O7" s="38"/>
      <c r="P7" s="40"/>
    </row>
    <row r="9" spans="1:16">
      <c r="A9" s="88" t="s">
        <v>63</v>
      </c>
    </row>
    <row r="11" spans="1:16">
      <c r="A11" t="s">
        <v>64</v>
      </c>
    </row>
    <row r="12" spans="1:16" ht="15.75" thickBot="1"/>
    <row r="13" spans="1:16">
      <c r="A13" s="208" t="s">
        <v>31</v>
      </c>
      <c r="B13" s="210" t="s">
        <v>66</v>
      </c>
      <c r="C13" s="211"/>
      <c r="D13" s="211"/>
      <c r="E13" s="211"/>
      <c r="F13" s="212"/>
    </row>
    <row r="14" spans="1:16" ht="15.75" thickBot="1">
      <c r="A14" s="209"/>
      <c r="B14" s="43">
        <f>Introduction!$B$11</f>
        <v>2017</v>
      </c>
      <c r="C14" s="44">
        <f>B14+1</f>
        <v>2018</v>
      </c>
      <c r="D14" s="44">
        <f>C14+1</f>
        <v>2019</v>
      </c>
      <c r="E14" s="44">
        <f>D14+1</f>
        <v>2020</v>
      </c>
      <c r="F14" s="45">
        <f>E14+1</f>
        <v>2021</v>
      </c>
    </row>
    <row r="15" spans="1:16" ht="15.75" thickBot="1">
      <c r="A15" s="49" t="s">
        <v>60</v>
      </c>
      <c r="B15" s="74">
        <f>SUM(B16:B18)</f>
        <v>1360000</v>
      </c>
      <c r="C15" s="75">
        <f>SUM(C16:C18)</f>
        <v>4900000</v>
      </c>
      <c r="D15" s="75">
        <f>SUM(D16:D18)</f>
        <v>9070000</v>
      </c>
      <c r="E15" s="75">
        <f>SUM(E16:E18)</f>
        <v>15330000</v>
      </c>
      <c r="F15" s="76">
        <f>SUM(F16:F18)</f>
        <v>17040000</v>
      </c>
    </row>
    <row r="16" spans="1:16">
      <c r="A16" s="41" t="str">
        <f>'Deal Model'!$A$12</f>
        <v>Mid-sized Elec. Utilities Utilities</v>
      </c>
      <c r="B16" s="69">
        <f>'Sales and Revenues'!B68+'Sales and Revenues'!B72+'Sales and Revenues'!B76+'Sales and Revenues'!B80+'Sales and Revenues'!B84</f>
        <v>1360000</v>
      </c>
      <c r="C16" s="70">
        <f>'Sales and Revenues'!C68+'Sales and Revenues'!C72+'Sales and Revenues'!C76+'Sales and Revenues'!C80+'Sales and Revenues'!C84</f>
        <v>2400000</v>
      </c>
      <c r="D16" s="70">
        <f>'Sales and Revenues'!D68+'Sales and Revenues'!D72+'Sales and Revenues'!D76+'Sales and Revenues'!D80+'Sales and Revenues'!D84</f>
        <v>3620000</v>
      </c>
      <c r="E16" s="70">
        <f>'Sales and Revenues'!E68+'Sales and Revenues'!E72+'Sales and Revenues'!E76+'Sales and Revenues'!E80+'Sales and Revenues'!E84</f>
        <v>6380000</v>
      </c>
      <c r="F16" s="71">
        <f>'Sales and Revenues'!F68+'Sales and Revenues'!F72+'Sales and Revenues'!F76+'Sales and Revenues'!F80+'Sales and Revenues'!F84</f>
        <v>7640000</v>
      </c>
      <c r="G16" t="s">
        <v>50</v>
      </c>
    </row>
    <row r="17" spans="1:7">
      <c r="A17" s="41" t="str">
        <f>'Deal Model'!$A$24</f>
        <v>Mid-sized Gas Utilities Utilities</v>
      </c>
      <c r="B17" s="72">
        <f>'Sales and Revenues'!B69+'Sales and Revenues'!B73+'Sales and Revenues'!B77+'Sales and Revenues'!B81+'Sales and Revenues'!B85</f>
        <v>0</v>
      </c>
      <c r="C17" s="50">
        <f>'Sales and Revenues'!C69+'Sales and Revenues'!C73+'Sales and Revenues'!C77+'Sales and Revenues'!C81+'Sales and Revenues'!C85</f>
        <v>2500000</v>
      </c>
      <c r="D17" s="50">
        <f>'Sales and Revenues'!D69+'Sales and Revenues'!D73+'Sales and Revenues'!D77+'Sales and Revenues'!D81+'Sales and Revenues'!D85</f>
        <v>1650000</v>
      </c>
      <c r="E17" s="50">
        <f>'Sales and Revenues'!E69+'Sales and Revenues'!E73+'Sales and Revenues'!E77+'Sales and Revenues'!E81+'Sales and Revenues'!E85</f>
        <v>4350000</v>
      </c>
      <c r="F17" s="51">
        <f>'Sales and Revenues'!F69+'Sales and Revenues'!F73+'Sales and Revenues'!F77+'Sales and Revenues'!F81+'Sales and Revenues'!F85</f>
        <v>4550000</v>
      </c>
      <c r="G17" t="s">
        <v>50</v>
      </c>
    </row>
    <row r="18" spans="1:7" ht="15.75" thickBot="1">
      <c r="A18" s="42" t="str">
        <f>'Deal Model'!$A$36</f>
        <v>Large Utilities</v>
      </c>
      <c r="B18" s="73">
        <f>'Sales and Revenues'!B70+'Sales and Revenues'!B74+'Sales and Revenues'!B78+'Sales and Revenues'!B82+'Sales and Revenues'!B86</f>
        <v>0</v>
      </c>
      <c r="C18" s="52">
        <f>'Sales and Revenues'!C70+'Sales and Revenues'!C74+'Sales and Revenues'!C78+'Sales and Revenues'!C82+'Sales and Revenues'!C86</f>
        <v>0</v>
      </c>
      <c r="D18" s="52">
        <f>'Sales and Revenues'!D70+'Sales and Revenues'!D74+'Sales and Revenues'!D78+'Sales and Revenues'!D82+'Sales and Revenues'!D86</f>
        <v>3800000</v>
      </c>
      <c r="E18" s="52">
        <f>'Sales and Revenues'!E70+'Sales and Revenues'!E74+'Sales and Revenues'!E78+'Sales and Revenues'!E82+'Sales and Revenues'!E86</f>
        <v>4600000</v>
      </c>
      <c r="F18" s="53">
        <f>'Sales and Revenues'!F70+'Sales and Revenues'!F74+'Sales and Revenues'!F78+'Sales and Revenues'!F82+'Sales and Revenues'!F86</f>
        <v>4850000</v>
      </c>
      <c r="G18" t="s">
        <v>50</v>
      </c>
    </row>
    <row r="19" spans="1:7" ht="15.75" thickBot="1">
      <c r="A19" s="49" t="s">
        <v>61</v>
      </c>
      <c r="B19" s="85">
        <f>SUM(B20:B22)</f>
        <v>607142.85714285716</v>
      </c>
      <c r="C19" s="86">
        <f>SUM(C20:C22)</f>
        <v>2374458.8744588746</v>
      </c>
      <c r="D19" s="86">
        <f>SUM(D20:D22)</f>
        <v>4017929.8356510745</v>
      </c>
      <c r="E19" s="86">
        <f>SUM(E20:E22)</f>
        <v>6981947.1899781646</v>
      </c>
      <c r="F19" s="87">
        <f>SUM(F20:F22)</f>
        <v>7750127.6673179334</v>
      </c>
    </row>
    <row r="20" spans="1:7">
      <c r="A20" s="41" t="str">
        <f>'Deal Model'!$A$12</f>
        <v>Mid-sized Elec. Utilities Utilities</v>
      </c>
      <c r="B20" s="69">
        <f>B16*'Deal Model'!$H$21</f>
        <v>607142.85714285716</v>
      </c>
      <c r="C20" s="70">
        <f>C16*'Deal Model'!$H$21</f>
        <v>1071428.5714285716</v>
      </c>
      <c r="D20" s="70">
        <f>D16*'Deal Model'!$H$21</f>
        <v>1616071.4285714286</v>
      </c>
      <c r="E20" s="70">
        <f>E16*'Deal Model'!$H$21</f>
        <v>2848214.2857142859</v>
      </c>
      <c r="F20" s="71">
        <f>F16*'Deal Model'!$H$21</f>
        <v>3410714.2857142859</v>
      </c>
      <c r="G20" t="s">
        <v>50</v>
      </c>
    </row>
    <row r="21" spans="1:7">
      <c r="A21" s="41" t="str">
        <f>'Deal Model'!$A$24</f>
        <v>Mid-sized Gas Utilities Utilities</v>
      </c>
      <c r="B21" s="72">
        <f>B17*'Deal Model'!$H$33</f>
        <v>0</v>
      </c>
      <c r="C21" s="50">
        <f>C17*'Deal Model'!$H$33</f>
        <v>1303030.303030303</v>
      </c>
      <c r="D21" s="50">
        <f>D17*'Deal Model'!$H$33</f>
        <v>860000</v>
      </c>
      <c r="E21" s="50">
        <f>E17*'Deal Model'!$H$33</f>
        <v>2267272.7272727275</v>
      </c>
      <c r="F21" s="51">
        <f>F17*'Deal Model'!$H$33</f>
        <v>2371515.1515151518</v>
      </c>
      <c r="G21" t="s">
        <v>50</v>
      </c>
    </row>
    <row r="22" spans="1:7" ht="15.75" thickBot="1">
      <c r="A22" s="42" t="str">
        <f>'Deal Model'!$A$36</f>
        <v>Large Utilities</v>
      </c>
      <c r="B22" s="73">
        <f>B18*'Deal Model'!$H$45</f>
        <v>0</v>
      </c>
      <c r="C22" s="52">
        <f>C18*'Deal Model'!$H$45</f>
        <v>0</v>
      </c>
      <c r="D22" s="52">
        <f>D18*'Deal Model'!$H$45</f>
        <v>1541858.4070796459</v>
      </c>
      <c r="E22" s="52">
        <f>E18*'Deal Model'!$H$45</f>
        <v>1866460.1769911505</v>
      </c>
      <c r="F22" s="53">
        <f>F18*'Deal Model'!$H$45</f>
        <v>1967898.2300884956</v>
      </c>
      <c r="G22" t="s">
        <v>50</v>
      </c>
    </row>
    <row r="23" spans="1:7" ht="15.75" thickBot="1">
      <c r="A23" s="49" t="s">
        <v>67</v>
      </c>
      <c r="B23" s="85">
        <f>SUM(B24:B26)</f>
        <v>752857.14285714284</v>
      </c>
      <c r="C23" s="86">
        <f>SUM(C24:C26)</f>
        <v>2525541.1255411254</v>
      </c>
      <c r="D23" s="86">
        <f>SUM(D24:D26)</f>
        <v>5052070.1643489255</v>
      </c>
      <c r="E23" s="86">
        <f>SUM(E24:E26)</f>
        <v>8348052.8100218354</v>
      </c>
      <c r="F23" s="87">
        <f>SUM(F24:F26)</f>
        <v>9289872.3326820657</v>
      </c>
    </row>
    <row r="24" spans="1:7">
      <c r="A24" s="41" t="str">
        <f>'Deal Model'!$A$12</f>
        <v>Mid-sized Elec. Utilities Utilities</v>
      </c>
      <c r="B24" s="69">
        <f>B16-B20</f>
        <v>752857.14285714284</v>
      </c>
      <c r="C24" s="70">
        <f t="shared" ref="C24:F24" si="0">C16-C20</f>
        <v>1328571.4285714284</v>
      </c>
      <c r="D24" s="70">
        <f t="shared" si="0"/>
        <v>2003928.5714285714</v>
      </c>
      <c r="E24" s="70">
        <f t="shared" si="0"/>
        <v>3531785.7142857141</v>
      </c>
      <c r="F24" s="71">
        <f t="shared" si="0"/>
        <v>4229285.7142857146</v>
      </c>
      <c r="G24" t="s">
        <v>50</v>
      </c>
    </row>
    <row r="25" spans="1:7">
      <c r="A25" s="41" t="str">
        <f>'Deal Model'!$A$24</f>
        <v>Mid-sized Gas Utilities Utilities</v>
      </c>
      <c r="B25" s="72">
        <f>B17-B21</f>
        <v>0</v>
      </c>
      <c r="C25" s="50">
        <f t="shared" ref="C25:F25" si="1">C17-C21</f>
        <v>1196969.696969697</v>
      </c>
      <c r="D25" s="50">
        <f t="shared" si="1"/>
        <v>790000</v>
      </c>
      <c r="E25" s="50">
        <f t="shared" si="1"/>
        <v>2082727.2727272725</v>
      </c>
      <c r="F25" s="51">
        <f t="shared" si="1"/>
        <v>2178484.8484848482</v>
      </c>
      <c r="G25" t="s">
        <v>50</v>
      </c>
    </row>
    <row r="26" spans="1:7" ht="15.75" thickBot="1">
      <c r="A26" s="42" t="str">
        <f>'Deal Model'!$A$36</f>
        <v>Large Utilities</v>
      </c>
      <c r="B26" s="73">
        <f>B18-B22</f>
        <v>0</v>
      </c>
      <c r="C26" s="52">
        <f t="shared" ref="C26:F26" si="2">C18-C22</f>
        <v>0</v>
      </c>
      <c r="D26" s="52">
        <f t="shared" si="2"/>
        <v>2258141.5929203541</v>
      </c>
      <c r="E26" s="52">
        <f t="shared" si="2"/>
        <v>2733539.8230088493</v>
      </c>
      <c r="F26" s="53">
        <f t="shared" si="2"/>
        <v>2882101.7699115044</v>
      </c>
      <c r="G26" t="s">
        <v>50</v>
      </c>
    </row>
    <row r="27" spans="1:7" ht="15.75" thickBot="1">
      <c r="A27" s="77" t="s">
        <v>68</v>
      </c>
      <c r="B27" s="78">
        <f>B23</f>
        <v>752857.14285714284</v>
      </c>
      <c r="C27" s="79">
        <f t="shared" ref="C27:F27" si="3">C23</f>
        <v>2525541.1255411254</v>
      </c>
      <c r="D27" s="79">
        <f t="shared" si="3"/>
        <v>5052070.1643489255</v>
      </c>
      <c r="E27" s="79">
        <f t="shared" si="3"/>
        <v>8348052.8100218354</v>
      </c>
      <c r="F27" s="80">
        <f t="shared" si="3"/>
        <v>9289872.3326820657</v>
      </c>
    </row>
    <row r="30" spans="1:7">
      <c r="A30" t="s">
        <v>65</v>
      </c>
    </row>
    <row r="31" spans="1:7" ht="15.75" thickBot="1"/>
    <row r="32" spans="1:7">
      <c r="A32" s="208"/>
      <c r="B32" s="210" t="s">
        <v>65</v>
      </c>
      <c r="C32" s="211"/>
      <c r="D32" s="211"/>
      <c r="E32" s="211"/>
      <c r="F32" s="212"/>
    </row>
    <row r="33" spans="1:7" ht="15.75" thickBot="1">
      <c r="A33" s="209"/>
      <c r="B33" s="43">
        <f>Introduction!$B$11</f>
        <v>2017</v>
      </c>
      <c r="C33" s="44">
        <f>B33+1</f>
        <v>2018</v>
      </c>
      <c r="D33" s="44">
        <f>C33+1</f>
        <v>2019</v>
      </c>
      <c r="E33" s="44">
        <f>D33+1</f>
        <v>2020</v>
      </c>
      <c r="F33" s="45">
        <f>E33+1</f>
        <v>2021</v>
      </c>
    </row>
    <row r="34" spans="1:7" ht="15.75" thickBot="1">
      <c r="A34" s="49" t="s">
        <v>69</v>
      </c>
      <c r="B34" s="74">
        <f>SUM(B35:B37)</f>
        <v>68000</v>
      </c>
      <c r="C34" s="75">
        <f>SUM(C35:C37)</f>
        <v>245000</v>
      </c>
      <c r="D34" s="75">
        <f>SUM(D35:D37)</f>
        <v>453500</v>
      </c>
      <c r="E34" s="75">
        <f>SUM(E35:E37)</f>
        <v>766500</v>
      </c>
      <c r="F34" s="76">
        <f>SUM(F35:F37)</f>
        <v>852000</v>
      </c>
    </row>
    <row r="35" spans="1:7">
      <c r="A35" s="67" t="s">
        <v>71</v>
      </c>
      <c r="B35" s="35">
        <f>0.05*'Sales and Revenues'!B87</f>
        <v>68000</v>
      </c>
      <c r="C35" s="36">
        <f>0.05*'Sales and Revenues'!C87</f>
        <v>245000</v>
      </c>
      <c r="D35" s="36">
        <f>0.05*'Sales and Revenues'!D87</f>
        <v>453500</v>
      </c>
      <c r="E35" s="36">
        <f>0.05*'Sales and Revenues'!E87</f>
        <v>766500</v>
      </c>
      <c r="F35" s="36">
        <f>0.05*'Sales and Revenues'!F87</f>
        <v>852000</v>
      </c>
      <c r="G35" t="s">
        <v>70</v>
      </c>
    </row>
    <row r="36" spans="1:7">
      <c r="A36" s="67" t="s">
        <v>72</v>
      </c>
      <c r="B36" s="25"/>
      <c r="C36" s="8"/>
      <c r="D36" s="8"/>
      <c r="E36" s="8"/>
      <c r="F36" s="26"/>
    </row>
    <row r="37" spans="1:7" ht="15.75" thickBot="1">
      <c r="A37" s="68" t="s">
        <v>73</v>
      </c>
      <c r="B37" s="27"/>
      <c r="C37" s="28"/>
      <c r="D37" s="28"/>
      <c r="E37" s="28"/>
      <c r="F37" s="29"/>
    </row>
    <row r="38" spans="1:7" ht="15.75" thickBot="1">
      <c r="A38" s="77" t="s">
        <v>75</v>
      </c>
      <c r="B38" s="153">
        <f>B34</f>
        <v>68000</v>
      </c>
      <c r="C38" s="154">
        <f t="shared" ref="C38:F38" si="4">C34</f>
        <v>245000</v>
      </c>
      <c r="D38" s="154">
        <f t="shared" si="4"/>
        <v>453500</v>
      </c>
      <c r="E38" s="154">
        <f t="shared" si="4"/>
        <v>766500</v>
      </c>
      <c r="F38" s="155">
        <f t="shared" si="4"/>
        <v>852000</v>
      </c>
    </row>
    <row r="42" spans="1:7">
      <c r="A42" s="88" t="s">
        <v>74</v>
      </c>
    </row>
    <row r="43" spans="1:7" ht="15.75" thickBot="1"/>
    <row r="44" spans="1:7">
      <c r="A44" s="208"/>
      <c r="B44" s="210" t="s">
        <v>90</v>
      </c>
      <c r="C44" s="211"/>
      <c r="D44" s="211"/>
      <c r="E44" s="211"/>
      <c r="F44" s="212"/>
    </row>
    <row r="45" spans="1:7" ht="15.75" thickBot="1">
      <c r="A45" s="209"/>
      <c r="B45" s="43">
        <f>Introduction!$B$11</f>
        <v>2017</v>
      </c>
      <c r="C45" s="44">
        <f>B45+1</f>
        <v>2018</v>
      </c>
      <c r="D45" s="44">
        <f>C45+1</f>
        <v>2019</v>
      </c>
      <c r="E45" s="44">
        <f>D45+1</f>
        <v>2020</v>
      </c>
      <c r="F45" s="45">
        <f>E45+1</f>
        <v>2021</v>
      </c>
    </row>
    <row r="46" spans="1:7" ht="15.75" thickBot="1">
      <c r="A46" s="49" t="s">
        <v>79</v>
      </c>
      <c r="B46" s="74">
        <f>SUM(B47:B49)</f>
        <v>100000</v>
      </c>
      <c r="C46" s="75">
        <f>SUM(C47:C49)</f>
        <v>150000</v>
      </c>
      <c r="D46" s="75">
        <f>SUM(D47:D49)</f>
        <v>200000</v>
      </c>
      <c r="E46" s="75">
        <f>SUM(E47:E49)</f>
        <v>200000</v>
      </c>
      <c r="F46" s="76">
        <f>SUM(F47:F49)</f>
        <v>200000</v>
      </c>
    </row>
    <row r="47" spans="1:7">
      <c r="A47" s="67" t="s">
        <v>80</v>
      </c>
      <c r="B47" s="35">
        <v>50000</v>
      </c>
      <c r="C47" s="36">
        <v>100000</v>
      </c>
      <c r="D47" s="36">
        <v>100000</v>
      </c>
      <c r="E47" s="36">
        <v>100000</v>
      </c>
      <c r="F47" s="37">
        <v>100000</v>
      </c>
    </row>
    <row r="48" spans="1:7">
      <c r="A48" s="67" t="s">
        <v>81</v>
      </c>
      <c r="B48" s="25">
        <v>50000</v>
      </c>
      <c r="C48" s="8">
        <v>50000</v>
      </c>
      <c r="D48" s="8">
        <v>100000</v>
      </c>
      <c r="E48" s="8">
        <v>100000</v>
      </c>
      <c r="F48" s="26">
        <v>100000</v>
      </c>
    </row>
    <row r="49" spans="1:7" ht="15.75" thickBot="1">
      <c r="A49" s="67" t="s">
        <v>73</v>
      </c>
      <c r="B49" s="27"/>
      <c r="C49" s="28"/>
      <c r="D49" s="28"/>
      <c r="E49" s="28"/>
      <c r="F49" s="29"/>
    </row>
    <row r="50" spans="1:7" ht="15.75" thickBot="1">
      <c r="A50" s="49" t="s">
        <v>76</v>
      </c>
      <c r="B50" s="85">
        <f>SUM(B51:B57)</f>
        <v>380000</v>
      </c>
      <c r="C50" s="86">
        <f>SUM(C51:C57)</f>
        <v>860000</v>
      </c>
      <c r="D50" s="86">
        <f>SUM(D51:D57)</f>
        <v>680000</v>
      </c>
      <c r="E50" s="86">
        <f>SUM(E51:E57)</f>
        <v>805000</v>
      </c>
      <c r="F50" s="87">
        <f>SUM(F51:F57)</f>
        <v>580000</v>
      </c>
    </row>
    <row r="51" spans="1:7">
      <c r="A51" s="41" t="s">
        <v>82</v>
      </c>
      <c r="B51" s="35">
        <v>50000</v>
      </c>
      <c r="C51" s="36">
        <v>100000</v>
      </c>
      <c r="D51" s="36">
        <v>150000</v>
      </c>
      <c r="E51" s="36">
        <v>200000</v>
      </c>
      <c r="F51" s="37">
        <v>300000</v>
      </c>
      <c r="G51" t="s">
        <v>140</v>
      </c>
    </row>
    <row r="52" spans="1:7">
      <c r="A52" s="41" t="s">
        <v>83</v>
      </c>
      <c r="B52" s="23"/>
      <c r="C52" s="9"/>
      <c r="D52" s="9"/>
      <c r="E52" s="9"/>
      <c r="F52" s="24"/>
      <c r="G52" t="s">
        <v>141</v>
      </c>
    </row>
    <row r="53" spans="1:7">
      <c r="A53" s="41" t="s">
        <v>88</v>
      </c>
      <c r="B53" s="23">
        <v>300000</v>
      </c>
      <c r="C53" s="9">
        <v>650000</v>
      </c>
      <c r="D53" s="9">
        <v>400000</v>
      </c>
      <c r="E53" s="9">
        <v>400000</v>
      </c>
      <c r="F53" s="24"/>
      <c r="G53" t="s">
        <v>142</v>
      </c>
    </row>
    <row r="54" spans="1:7">
      <c r="A54" s="41" t="s">
        <v>84</v>
      </c>
      <c r="B54" s="25">
        <v>30000</v>
      </c>
      <c r="C54" s="8">
        <v>30000</v>
      </c>
      <c r="D54" s="8">
        <v>30000</v>
      </c>
      <c r="E54" s="8">
        <v>30000</v>
      </c>
      <c r="F54" s="26">
        <v>30000</v>
      </c>
    </row>
    <row r="55" spans="1:7">
      <c r="A55" s="41" t="s">
        <v>85</v>
      </c>
      <c r="B55" s="108">
        <v>0</v>
      </c>
      <c r="C55" s="109">
        <v>50000</v>
      </c>
      <c r="D55" s="109">
        <v>50000</v>
      </c>
      <c r="E55" s="109">
        <v>100000</v>
      </c>
      <c r="F55" s="110">
        <v>150000</v>
      </c>
    </row>
    <row r="56" spans="1:7">
      <c r="A56" s="41" t="s">
        <v>87</v>
      </c>
      <c r="B56" s="108">
        <v>0</v>
      </c>
      <c r="C56" s="109">
        <v>30000</v>
      </c>
      <c r="D56" s="109">
        <v>50000</v>
      </c>
      <c r="E56" s="109">
        <v>75000</v>
      </c>
      <c r="F56" s="110">
        <v>100000</v>
      </c>
    </row>
    <row r="57" spans="1:7" ht="15.75" thickBot="1">
      <c r="A57" s="42" t="s">
        <v>73</v>
      </c>
      <c r="B57" s="27"/>
      <c r="C57" s="28"/>
      <c r="D57" s="28"/>
      <c r="E57" s="28"/>
      <c r="F57" s="29"/>
    </row>
    <row r="58" spans="1:7" ht="15.75" thickBot="1">
      <c r="A58" s="49" t="s">
        <v>77</v>
      </c>
      <c r="B58" s="74">
        <f>SUM(B59:B61)</f>
        <v>0</v>
      </c>
      <c r="C58" s="75">
        <f>SUM(C59:C61)</f>
        <v>98000</v>
      </c>
      <c r="D58" s="75">
        <f>SUM(D59:D61)</f>
        <v>272100</v>
      </c>
      <c r="E58" s="75">
        <f>SUM(E59:E61)</f>
        <v>613200</v>
      </c>
      <c r="F58" s="76">
        <f>SUM(F59:F61)</f>
        <v>1022400</v>
      </c>
    </row>
    <row r="59" spans="1:7">
      <c r="A59" s="67" t="s">
        <v>78</v>
      </c>
      <c r="B59" s="35"/>
      <c r="C59" s="36">
        <f>0.02*'Sales and Revenues'!C87</f>
        <v>98000</v>
      </c>
      <c r="D59" s="36">
        <f>0.03*'Sales and Revenues'!D87</f>
        <v>272100</v>
      </c>
      <c r="E59" s="36">
        <f>0.04*'Sales and Revenues'!E87</f>
        <v>613200</v>
      </c>
      <c r="F59" s="37">
        <f>0.06*'Sales and Revenues'!F87</f>
        <v>1022400</v>
      </c>
    </row>
    <row r="60" spans="1:7">
      <c r="A60" s="67" t="s">
        <v>86</v>
      </c>
      <c r="B60" s="25"/>
      <c r="C60" s="8"/>
      <c r="D60" s="8"/>
      <c r="E60" s="8"/>
      <c r="F60" s="26"/>
    </row>
    <row r="61" spans="1:7" ht="15.75" thickBot="1">
      <c r="A61" s="67" t="s">
        <v>73</v>
      </c>
      <c r="B61" s="27"/>
      <c r="C61" s="28"/>
      <c r="D61" s="28"/>
      <c r="E61" s="28"/>
      <c r="F61" s="29"/>
    </row>
    <row r="62" spans="1:7" ht="15.75" thickBot="1">
      <c r="A62" s="77" t="s">
        <v>92</v>
      </c>
      <c r="B62" s="153">
        <f>B46+B58+B50</f>
        <v>480000</v>
      </c>
      <c r="C62" s="154">
        <f t="shared" ref="C62:F62" si="5">C46+C58+C50</f>
        <v>1108000</v>
      </c>
      <c r="D62" s="154">
        <f t="shared" si="5"/>
        <v>1152100</v>
      </c>
      <c r="E62" s="154">
        <f t="shared" si="5"/>
        <v>1618200</v>
      </c>
      <c r="F62" s="155">
        <f t="shared" si="5"/>
        <v>1802400</v>
      </c>
    </row>
    <row r="65" spans="1:6">
      <c r="A65" s="88" t="s">
        <v>89</v>
      </c>
    </row>
    <row r="66" spans="1:6" ht="15.75" thickBot="1"/>
    <row r="67" spans="1:6">
      <c r="A67" s="208"/>
      <c r="B67" s="210" t="s">
        <v>91</v>
      </c>
      <c r="C67" s="211"/>
      <c r="D67" s="211"/>
      <c r="E67" s="211"/>
      <c r="F67" s="212"/>
    </row>
    <row r="68" spans="1:6" ht="15.75" thickBot="1">
      <c r="A68" s="213"/>
      <c r="B68" s="111">
        <f>Introduction!$B$11</f>
        <v>2017</v>
      </c>
      <c r="C68" s="112">
        <f>B68+1</f>
        <v>2018</v>
      </c>
      <c r="D68" s="112">
        <f>C68+1</f>
        <v>2019</v>
      </c>
      <c r="E68" s="112">
        <f>D68+1</f>
        <v>2020</v>
      </c>
      <c r="F68" s="113">
        <f>E68+1</f>
        <v>2021</v>
      </c>
    </row>
    <row r="69" spans="1:6">
      <c r="A69" s="116" t="s">
        <v>98</v>
      </c>
      <c r="B69" s="114">
        <v>600000</v>
      </c>
      <c r="C69" s="36">
        <v>300000</v>
      </c>
      <c r="D69" s="36">
        <v>300000</v>
      </c>
      <c r="E69" s="36">
        <v>350000</v>
      </c>
      <c r="F69" s="37">
        <v>400000</v>
      </c>
    </row>
    <row r="70" spans="1:6">
      <c r="A70" s="117" t="s">
        <v>94</v>
      </c>
      <c r="B70" s="115">
        <v>200000</v>
      </c>
      <c r="C70" s="8"/>
      <c r="D70" s="8"/>
      <c r="E70" s="8"/>
      <c r="F70" s="26"/>
    </row>
    <row r="71" spans="1:6">
      <c r="A71" s="117" t="s">
        <v>95</v>
      </c>
      <c r="B71" s="115"/>
      <c r="C71" s="8"/>
      <c r="D71" s="8"/>
      <c r="E71" s="8"/>
      <c r="F71" s="26"/>
    </row>
    <row r="72" spans="1:6">
      <c r="A72" s="117" t="s">
        <v>96</v>
      </c>
      <c r="B72" s="115"/>
      <c r="C72" s="8"/>
      <c r="D72" s="8"/>
      <c r="E72" s="8"/>
      <c r="F72" s="26"/>
    </row>
    <row r="73" spans="1:6" ht="15.75" thickBot="1">
      <c r="A73" s="117" t="s">
        <v>73</v>
      </c>
      <c r="B73" s="118"/>
      <c r="C73" s="109"/>
      <c r="D73" s="109"/>
      <c r="E73" s="109"/>
      <c r="F73" s="110"/>
    </row>
    <row r="74" spans="1:6" ht="15.75" thickBot="1">
      <c r="A74" s="77" t="s">
        <v>97</v>
      </c>
      <c r="B74" s="78">
        <f>SUM(B69:B73)</f>
        <v>800000</v>
      </c>
      <c r="C74" s="79">
        <f t="shared" ref="C74:F74" si="6">SUM(C69:C73)</f>
        <v>300000</v>
      </c>
      <c r="D74" s="79">
        <f t="shared" si="6"/>
        <v>300000</v>
      </c>
      <c r="E74" s="79">
        <f t="shared" si="6"/>
        <v>350000</v>
      </c>
      <c r="F74" s="80">
        <f t="shared" si="6"/>
        <v>400000</v>
      </c>
    </row>
  </sheetData>
  <mergeCells count="8">
    <mergeCell ref="A67:A68"/>
    <mergeCell ref="B67:F67"/>
    <mergeCell ref="A13:A14"/>
    <mergeCell ref="B13:F13"/>
    <mergeCell ref="A32:A33"/>
    <mergeCell ref="B32:F32"/>
    <mergeCell ref="A44:A45"/>
    <mergeCell ref="B44:F44"/>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dimension ref="A2:P30"/>
  <sheetViews>
    <sheetView workbookViewId="0">
      <selection activeCell="C31" sqref="C31"/>
    </sheetView>
  </sheetViews>
  <sheetFormatPr defaultRowHeight="15"/>
  <cols>
    <col min="1" max="1" width="36" customWidth="1"/>
    <col min="2" max="6" width="15" customWidth="1"/>
  </cols>
  <sheetData>
    <row r="2" spans="1:16">
      <c r="A2" s="135" t="s">
        <v>149</v>
      </c>
    </row>
    <row r="3" spans="1:16">
      <c r="A3" s="135" t="s">
        <v>150</v>
      </c>
    </row>
    <row r="4" spans="1:16">
      <c r="A4" s="135" t="s">
        <v>133</v>
      </c>
    </row>
    <row r="5" spans="1:16">
      <c r="A5" s="135" t="s">
        <v>151</v>
      </c>
    </row>
    <row r="7" spans="1:16" s="39" customFormat="1" ht="18.75">
      <c r="A7" s="38" t="s">
        <v>117</v>
      </c>
      <c r="B7" s="38" t="str">
        <f>Introduction!B9</f>
        <v>EXAMPLE IP SOLUTION</v>
      </c>
      <c r="C7" s="38"/>
      <c r="D7" s="38"/>
      <c r="E7" s="38"/>
      <c r="F7" s="38"/>
      <c r="G7" s="38"/>
      <c r="H7" s="38"/>
      <c r="I7" s="38"/>
      <c r="J7" s="38"/>
      <c r="K7" s="38"/>
      <c r="L7" s="38"/>
      <c r="M7" s="38"/>
      <c r="N7" s="38"/>
      <c r="O7" s="38"/>
      <c r="P7" s="40"/>
    </row>
    <row r="10" spans="1:16" ht="15.75" thickBot="1"/>
    <row r="11" spans="1:16" ht="15.75" thickBot="1">
      <c r="A11" s="129" t="s">
        <v>110</v>
      </c>
      <c r="B11" s="130">
        <f>Introduction!$B$11</f>
        <v>2017</v>
      </c>
      <c r="C11" s="131">
        <f>B11+1</f>
        <v>2018</v>
      </c>
      <c r="D11" s="131">
        <f>C11+1</f>
        <v>2019</v>
      </c>
      <c r="E11" s="131">
        <f>D11+1</f>
        <v>2020</v>
      </c>
      <c r="F11" s="132">
        <f>E11+1</f>
        <v>2021</v>
      </c>
    </row>
    <row r="12" spans="1:16">
      <c r="A12" s="120" t="s">
        <v>105</v>
      </c>
      <c r="B12" s="122">
        <f>'Sales and Revenues'!B60</f>
        <v>2800000</v>
      </c>
      <c r="C12" s="122">
        <f>'Sales and Revenues'!C60</f>
        <v>7500000</v>
      </c>
      <c r="D12" s="122">
        <f>'Sales and Revenues'!D60</f>
        <v>18550000</v>
      </c>
      <c r="E12" s="122">
        <f>'Sales and Revenues'!E60</f>
        <v>20400000</v>
      </c>
      <c r="F12" s="122">
        <f>'Sales and Revenues'!F60</f>
        <v>31450000</v>
      </c>
    </row>
    <row r="13" spans="1:16" ht="9" customHeight="1">
      <c r="A13" s="125"/>
      <c r="B13" s="128"/>
      <c r="C13" s="128"/>
      <c r="D13" s="128"/>
      <c r="E13" s="128"/>
      <c r="F13" s="128"/>
    </row>
    <row r="14" spans="1:16">
      <c r="A14" s="120" t="s">
        <v>52</v>
      </c>
      <c r="B14" s="122">
        <f>'Sales and Revenues'!B87</f>
        <v>1360000</v>
      </c>
      <c r="C14" s="122">
        <f>'Sales and Revenues'!C87</f>
        <v>4900000</v>
      </c>
      <c r="D14" s="122">
        <f>'Sales and Revenues'!D87</f>
        <v>9070000</v>
      </c>
      <c r="E14" s="122">
        <f>'Sales and Revenues'!E87</f>
        <v>15330000</v>
      </c>
      <c r="F14" s="122">
        <f>'Sales and Revenues'!F87</f>
        <v>17040000</v>
      </c>
    </row>
    <row r="15" spans="1:16">
      <c r="A15" s="119" t="s">
        <v>106</v>
      </c>
      <c r="B15" s="124">
        <f>-Costs!B27</f>
        <v>-752857.14285714284</v>
      </c>
      <c r="C15" s="124">
        <f>-Costs!C27</f>
        <v>-2525541.1255411254</v>
      </c>
      <c r="D15" s="124">
        <f>-Costs!D27</f>
        <v>-5052070.1643489255</v>
      </c>
      <c r="E15" s="124">
        <f>-Costs!E27</f>
        <v>-8348052.8100218354</v>
      </c>
      <c r="F15" s="124">
        <f>-Costs!F27</f>
        <v>-9289872.3326820657</v>
      </c>
    </row>
    <row r="16" spans="1:16">
      <c r="A16" s="119" t="s">
        <v>107</v>
      </c>
      <c r="B16" s="124">
        <f>-Costs!B38</f>
        <v>-68000</v>
      </c>
      <c r="C16" s="124">
        <f>-Costs!C38</f>
        <v>-245000</v>
      </c>
      <c r="D16" s="124">
        <f>-Costs!D38</f>
        <v>-453500</v>
      </c>
      <c r="E16" s="124">
        <f>-Costs!E38</f>
        <v>-766500</v>
      </c>
      <c r="F16" s="124">
        <f>-Costs!F38</f>
        <v>-852000</v>
      </c>
    </row>
    <row r="17" spans="1:7">
      <c r="A17" s="120" t="s">
        <v>99</v>
      </c>
      <c r="B17" s="122">
        <f>B14+B15+B16</f>
        <v>539142.85714285716</v>
      </c>
      <c r="C17" s="122">
        <f>C14+C15+C16</f>
        <v>2129458.8744588746</v>
      </c>
      <c r="D17" s="122">
        <f t="shared" ref="D17:E17" si="0">D14+D15+D16</f>
        <v>3564429.8356510745</v>
      </c>
      <c r="E17" s="122">
        <f t="shared" si="0"/>
        <v>6215447.1899781646</v>
      </c>
      <c r="F17" s="122">
        <f>F14+F15+F16</f>
        <v>6898127.6673179343</v>
      </c>
    </row>
    <row r="18" spans="1:7">
      <c r="A18" s="120" t="s">
        <v>100</v>
      </c>
      <c r="B18" s="123">
        <f>B17/B14</f>
        <v>0.39642857142857146</v>
      </c>
      <c r="C18" s="123">
        <f t="shared" ref="C18:F18" si="1">C17/C14</f>
        <v>0.43458344376711727</v>
      </c>
      <c r="D18" s="123">
        <f t="shared" si="1"/>
        <v>0.39299116159328273</v>
      </c>
      <c r="E18" s="123">
        <f t="shared" si="1"/>
        <v>0.40544339138800811</v>
      </c>
      <c r="F18" s="123">
        <f t="shared" si="1"/>
        <v>0.40481969878626373</v>
      </c>
    </row>
    <row r="19" spans="1:7" ht="8.25" customHeight="1">
      <c r="A19" s="125"/>
      <c r="B19" s="126"/>
      <c r="C19" s="126"/>
      <c r="D19" s="126"/>
      <c r="E19" s="126"/>
      <c r="F19" s="126"/>
    </row>
    <row r="20" spans="1:7">
      <c r="A20" s="119" t="s">
        <v>108</v>
      </c>
      <c r="B20" s="124">
        <f>-Costs!B46</f>
        <v>-100000</v>
      </c>
      <c r="C20" s="124">
        <f>-Costs!C46</f>
        <v>-150000</v>
      </c>
      <c r="D20" s="124">
        <f>-Costs!D46</f>
        <v>-200000</v>
      </c>
      <c r="E20" s="124">
        <f>-Costs!E46</f>
        <v>-200000</v>
      </c>
      <c r="F20" s="124">
        <f>-Costs!F46</f>
        <v>-200000</v>
      </c>
    </row>
    <row r="21" spans="1:7">
      <c r="A21" s="119" t="s">
        <v>101</v>
      </c>
      <c r="B21" s="124">
        <f>-Costs!B50</f>
        <v>-380000</v>
      </c>
      <c r="C21" s="124">
        <f>-Costs!C50</f>
        <v>-860000</v>
      </c>
      <c r="D21" s="124">
        <f>-Costs!D50</f>
        <v>-680000</v>
      </c>
      <c r="E21" s="124">
        <f>-Costs!E50</f>
        <v>-805000</v>
      </c>
      <c r="F21" s="124">
        <f>-Costs!F50</f>
        <v>-580000</v>
      </c>
    </row>
    <row r="22" spans="1:7">
      <c r="A22" s="119" t="s">
        <v>109</v>
      </c>
      <c r="B22" s="124">
        <f>-Costs!B58</f>
        <v>0</v>
      </c>
      <c r="C22" s="124">
        <f>-Costs!C58</f>
        <v>-98000</v>
      </c>
      <c r="D22" s="124">
        <f>-Costs!D58</f>
        <v>-272100</v>
      </c>
      <c r="E22" s="124">
        <f>-Costs!E58</f>
        <v>-613200</v>
      </c>
      <c r="F22" s="124">
        <f>-Costs!F58</f>
        <v>-1022400</v>
      </c>
    </row>
    <row r="23" spans="1:7">
      <c r="A23" s="120" t="s">
        <v>102</v>
      </c>
      <c r="B23" s="122">
        <f>B17+SUM(B20:B22)</f>
        <v>59142.857142857159</v>
      </c>
      <c r="C23" s="122">
        <f t="shared" ref="C23:F23" si="2">C17+SUM(C20:C22)</f>
        <v>1021458.8744588746</v>
      </c>
      <c r="D23" s="122">
        <f t="shared" si="2"/>
        <v>2412329.8356510745</v>
      </c>
      <c r="E23" s="122">
        <f t="shared" si="2"/>
        <v>4597247.1899781646</v>
      </c>
      <c r="F23" s="122">
        <f t="shared" si="2"/>
        <v>5095727.6673179343</v>
      </c>
    </row>
    <row r="24" spans="1:7">
      <c r="A24" s="120" t="s">
        <v>103</v>
      </c>
      <c r="B24" s="123">
        <f>B23/B14</f>
        <v>4.3487394957983205E-2</v>
      </c>
      <c r="C24" s="123">
        <f t="shared" ref="C24:F24" si="3">C23/C14</f>
        <v>0.20846099478752542</v>
      </c>
      <c r="D24" s="123">
        <f t="shared" si="3"/>
        <v>0.26596800834080203</v>
      </c>
      <c r="E24" s="123">
        <f t="shared" si="3"/>
        <v>0.29988566144671652</v>
      </c>
      <c r="F24" s="123">
        <f t="shared" si="3"/>
        <v>0.29904505089893979</v>
      </c>
    </row>
    <row r="25" spans="1:7" ht="8.25" customHeight="1">
      <c r="A25" s="127"/>
      <c r="B25" s="127"/>
      <c r="C25" s="127"/>
      <c r="D25" s="127"/>
      <c r="E25" s="127"/>
      <c r="F25" s="127"/>
    </row>
    <row r="26" spans="1:7">
      <c r="A26" s="119" t="s">
        <v>111</v>
      </c>
      <c r="B26" s="124">
        <f>-Costs!$B$69/6</f>
        <v>-100000</v>
      </c>
      <c r="C26" s="124">
        <f>-(Costs!$B$69/3+Costs!$C$69/6)</f>
        <v>-250000</v>
      </c>
      <c r="D26" s="124">
        <f>-(Costs!$B$69/3+Costs!$C$69/3+Costs!$D$69/6)</f>
        <v>-350000</v>
      </c>
      <c r="E26" s="124">
        <f>-(Costs!$B$69/6+Costs!$C$69/3+Costs!$D$69/3+Costs!$E$69/6)</f>
        <v>-358333.33333333331</v>
      </c>
      <c r="F26" s="124">
        <f>-(Costs!$C$69/6+Costs!$D$69/3+Costs!$E$69/3+Costs!$F$69/6)</f>
        <v>-333333.33333333337</v>
      </c>
      <c r="G26" t="s">
        <v>153</v>
      </c>
    </row>
    <row r="27" spans="1:7">
      <c r="A27" s="119" t="s">
        <v>94</v>
      </c>
      <c r="B27" s="133">
        <f>-Costs!$B$70/10</f>
        <v>-20000</v>
      </c>
      <c r="C27" s="133">
        <f>-Costs!$B$70/5</f>
        <v>-40000</v>
      </c>
      <c r="D27" s="133">
        <f>-Costs!$B$70/5</f>
        <v>-40000</v>
      </c>
      <c r="E27" s="133">
        <f>-Costs!$B$70/5</f>
        <v>-40000</v>
      </c>
      <c r="F27" s="133">
        <f>-Costs!$B$70/5</f>
        <v>-40000</v>
      </c>
      <c r="G27" t="s">
        <v>152</v>
      </c>
    </row>
    <row r="28" spans="1:7">
      <c r="A28" s="119" t="s">
        <v>112</v>
      </c>
      <c r="B28" s="133"/>
      <c r="C28" s="133"/>
      <c r="D28" s="133"/>
      <c r="E28" s="133"/>
      <c r="F28" s="133"/>
    </row>
    <row r="29" spans="1:7">
      <c r="A29" s="120" t="s">
        <v>113</v>
      </c>
      <c r="B29" s="156">
        <f>B23+SUM(B26:B28)</f>
        <v>-60857.142857142841</v>
      </c>
      <c r="C29" s="122">
        <f t="shared" ref="C29" si="4">C23+SUM(C26:C28)</f>
        <v>731458.87445887458</v>
      </c>
      <c r="D29" s="122">
        <f t="shared" ref="D29" si="5">D23+SUM(D26:D28)</f>
        <v>2022329.8356510745</v>
      </c>
      <c r="E29" s="122">
        <f t="shared" ref="E29" si="6">E23+SUM(E26:E28)</f>
        <v>4198913.8566448316</v>
      </c>
      <c r="F29" s="122">
        <f t="shared" ref="F29" si="7">F23+SUM(F26:F28)</f>
        <v>4722394.3339846013</v>
      </c>
    </row>
    <row r="30" spans="1:7">
      <c r="A30" s="121" t="s">
        <v>114</v>
      </c>
      <c r="B30" s="158">
        <f>B29/B14</f>
        <v>-4.4747899159663852E-2</v>
      </c>
      <c r="C30" s="123">
        <f t="shared" ref="C30:F30" si="8">C29/C14</f>
        <v>0.14927732131813767</v>
      </c>
      <c r="D30" s="123">
        <f t="shared" si="8"/>
        <v>0.22296911087663446</v>
      </c>
      <c r="E30" s="123">
        <f t="shared" si="8"/>
        <v>0.27390175190116317</v>
      </c>
      <c r="F30" s="123">
        <f t="shared" si="8"/>
        <v>0.277135817722101</v>
      </c>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P39"/>
  <sheetViews>
    <sheetView workbookViewId="0">
      <selection activeCell="I25" sqref="I25:I26"/>
    </sheetView>
  </sheetViews>
  <sheetFormatPr defaultRowHeight="15"/>
  <cols>
    <col min="1" max="1" width="36" customWidth="1"/>
    <col min="2" max="6" width="15" customWidth="1"/>
  </cols>
  <sheetData>
    <row r="1" spans="1:16">
      <c r="A1" t="s">
        <v>118</v>
      </c>
    </row>
    <row r="2" spans="1:16">
      <c r="A2" t="s">
        <v>115</v>
      </c>
    </row>
    <row r="3" spans="1:16">
      <c r="A3" t="s">
        <v>26</v>
      </c>
    </row>
    <row r="4" spans="1:16">
      <c r="A4" t="s">
        <v>116</v>
      </c>
    </row>
    <row r="6" spans="1:16" s="39" customFormat="1" ht="18.75">
      <c r="A6" s="38" t="s">
        <v>128</v>
      </c>
      <c r="B6" s="38" t="str">
        <f>Introduction!B9</f>
        <v>EXAMPLE IP SOLUTION</v>
      </c>
      <c r="C6" s="38"/>
      <c r="D6" s="38"/>
      <c r="E6" s="38"/>
      <c r="F6" s="38"/>
      <c r="G6" s="38"/>
      <c r="H6" s="38"/>
      <c r="I6" s="38"/>
      <c r="J6" s="38"/>
      <c r="K6" s="38"/>
      <c r="L6" s="38"/>
      <c r="M6" s="38"/>
      <c r="N6" s="38"/>
      <c r="O6" s="38"/>
      <c r="P6" s="40"/>
    </row>
    <row r="9" spans="1:16" ht="15.75" thickBot="1"/>
    <row r="10" spans="1:16" ht="15.75" thickBot="1">
      <c r="A10" s="129" t="s">
        <v>129</v>
      </c>
      <c r="B10" s="130">
        <f>Introduction!$B$11</f>
        <v>2017</v>
      </c>
      <c r="C10" s="131">
        <f>B10+1</f>
        <v>2018</v>
      </c>
      <c r="D10" s="131">
        <f>C10+1</f>
        <v>2019</v>
      </c>
      <c r="E10" s="131">
        <f>D10+1</f>
        <v>2020</v>
      </c>
      <c r="F10" s="132">
        <f>E10+1</f>
        <v>2021</v>
      </c>
    </row>
    <row r="11" spans="1:16">
      <c r="A11" s="120" t="s">
        <v>105</v>
      </c>
      <c r="B11" s="122">
        <f>'Sales and Revenues'!B60</f>
        <v>2800000</v>
      </c>
      <c r="C11" s="122">
        <f>'Sales and Revenues'!C60</f>
        <v>7500000</v>
      </c>
      <c r="D11" s="122">
        <f>'Sales and Revenues'!D60</f>
        <v>18550000</v>
      </c>
      <c r="E11" s="122">
        <f>'Sales and Revenues'!E60</f>
        <v>20400000</v>
      </c>
      <c r="F11" s="122">
        <f>'Sales and Revenues'!F60</f>
        <v>31450000</v>
      </c>
    </row>
    <row r="12" spans="1:16" ht="9" customHeight="1">
      <c r="A12" s="125"/>
      <c r="B12" s="128"/>
      <c r="C12" s="128"/>
      <c r="D12" s="128"/>
      <c r="E12" s="128"/>
      <c r="F12" s="128"/>
    </row>
    <row r="13" spans="1:16">
      <c r="A13" s="120" t="s">
        <v>52</v>
      </c>
      <c r="B13" s="122">
        <f>'Sales and Revenues'!B87</f>
        <v>1360000</v>
      </c>
      <c r="C13" s="122">
        <f>'Sales and Revenues'!C87</f>
        <v>4900000</v>
      </c>
      <c r="D13" s="122">
        <f>'Sales and Revenues'!D87</f>
        <v>9070000</v>
      </c>
      <c r="E13" s="122">
        <f>'Sales and Revenues'!E87</f>
        <v>15330000</v>
      </c>
      <c r="F13" s="122">
        <f>'Sales and Revenues'!F87</f>
        <v>17040000</v>
      </c>
    </row>
    <row r="14" spans="1:16">
      <c r="A14" s="119" t="s">
        <v>106</v>
      </c>
      <c r="B14" s="124">
        <f>-Costs!B27</f>
        <v>-752857.14285714284</v>
      </c>
      <c r="C14" s="124">
        <f>-Costs!C27</f>
        <v>-2525541.1255411254</v>
      </c>
      <c r="D14" s="124">
        <f>-Costs!D27</f>
        <v>-5052070.1643489255</v>
      </c>
      <c r="E14" s="124">
        <f>-Costs!E27</f>
        <v>-8348052.8100218354</v>
      </c>
      <c r="F14" s="124">
        <f>-Costs!F27</f>
        <v>-9289872.3326820657</v>
      </c>
    </row>
    <row r="15" spans="1:16">
      <c r="A15" s="119" t="s">
        <v>107</v>
      </c>
      <c r="B15" s="124">
        <f>-Costs!B38</f>
        <v>-68000</v>
      </c>
      <c r="C15" s="124">
        <f>-Costs!C38</f>
        <v>-245000</v>
      </c>
      <c r="D15" s="124">
        <f>-Costs!D38</f>
        <v>-453500</v>
      </c>
      <c r="E15" s="124">
        <f>-Costs!E38</f>
        <v>-766500</v>
      </c>
      <c r="F15" s="124">
        <f>-Costs!F38</f>
        <v>-852000</v>
      </c>
    </row>
    <row r="16" spans="1:16">
      <c r="A16" s="120" t="s">
        <v>99</v>
      </c>
      <c r="B16" s="122">
        <f>B13+B14+B15</f>
        <v>539142.85714285716</v>
      </c>
      <c r="C16" s="122">
        <f>C13+C14+C15</f>
        <v>2129458.8744588746</v>
      </c>
      <c r="D16" s="122">
        <f t="shared" ref="D16:E16" si="0">D13+D14+D15</f>
        <v>3564429.8356510745</v>
      </c>
      <c r="E16" s="122">
        <f t="shared" si="0"/>
        <v>6215447.1899781646</v>
      </c>
      <c r="F16" s="122">
        <f>F13+F14+F15</f>
        <v>6898127.6673179343</v>
      </c>
    </row>
    <row r="17" spans="1:8">
      <c r="A17" s="120" t="s">
        <v>100</v>
      </c>
      <c r="B17" s="123">
        <f>B16/B13</f>
        <v>0.39642857142857146</v>
      </c>
      <c r="C17" s="123">
        <f t="shared" ref="C17:F17" si="1">C16/C13</f>
        <v>0.43458344376711727</v>
      </c>
      <c r="D17" s="123">
        <f t="shared" si="1"/>
        <v>0.39299116159328273</v>
      </c>
      <c r="E17" s="123">
        <f t="shared" si="1"/>
        <v>0.40544339138800811</v>
      </c>
      <c r="F17" s="123">
        <f t="shared" si="1"/>
        <v>0.40481969878626373</v>
      </c>
    </row>
    <row r="18" spans="1:8" ht="8.25" customHeight="1">
      <c r="A18" s="125"/>
      <c r="B18" s="126"/>
      <c r="C18" s="126"/>
      <c r="D18" s="126"/>
      <c r="E18" s="126"/>
      <c r="F18" s="126"/>
    </row>
    <row r="19" spans="1:8">
      <c r="A19" s="119" t="s">
        <v>108</v>
      </c>
      <c r="B19" s="124">
        <f>-Costs!B46</f>
        <v>-100000</v>
      </c>
      <c r="C19" s="124">
        <f>-Costs!C46</f>
        <v>-150000</v>
      </c>
      <c r="D19" s="124">
        <f>-Costs!D46</f>
        <v>-200000</v>
      </c>
      <c r="E19" s="124">
        <f>-Costs!E46</f>
        <v>-200000</v>
      </c>
      <c r="F19" s="124">
        <f>-Costs!F46</f>
        <v>-200000</v>
      </c>
    </row>
    <row r="20" spans="1:8">
      <c r="A20" s="119" t="s">
        <v>101</v>
      </c>
      <c r="B20" s="124">
        <f>-Costs!B50</f>
        <v>-380000</v>
      </c>
      <c r="C20" s="124">
        <f>-Costs!C50</f>
        <v>-860000</v>
      </c>
      <c r="D20" s="124">
        <f>-Costs!D50</f>
        <v>-680000</v>
      </c>
      <c r="E20" s="124">
        <f>-Costs!E50</f>
        <v>-805000</v>
      </c>
      <c r="F20" s="124">
        <f>-Costs!F50</f>
        <v>-580000</v>
      </c>
    </row>
    <row r="21" spans="1:8">
      <c r="A21" s="119" t="s">
        <v>109</v>
      </c>
      <c r="B21" s="124">
        <f>-Costs!B58</f>
        <v>0</v>
      </c>
      <c r="C21" s="124">
        <f>-Costs!C58</f>
        <v>-98000</v>
      </c>
      <c r="D21" s="124">
        <f>-Costs!D58</f>
        <v>-272100</v>
      </c>
      <c r="E21" s="124">
        <f>-Costs!E58</f>
        <v>-613200</v>
      </c>
      <c r="F21" s="124">
        <f>-Costs!F58</f>
        <v>-1022400</v>
      </c>
    </row>
    <row r="22" spans="1:8">
      <c r="A22" s="120" t="s">
        <v>102</v>
      </c>
      <c r="B22" s="122">
        <f>B16+SUM(B19:B21)</f>
        <v>59142.857142857159</v>
      </c>
      <c r="C22" s="122">
        <f t="shared" ref="C22:F22" si="2">C16+SUM(C19:C21)</f>
        <v>1021458.8744588746</v>
      </c>
      <c r="D22" s="122">
        <f t="shared" si="2"/>
        <v>2412329.8356510745</v>
      </c>
      <c r="E22" s="122">
        <f t="shared" si="2"/>
        <v>4597247.1899781646</v>
      </c>
      <c r="F22" s="122">
        <f t="shared" si="2"/>
        <v>5095727.6673179343</v>
      </c>
    </row>
    <row r="23" spans="1:8">
      <c r="A23" s="120" t="s">
        <v>103</v>
      </c>
      <c r="B23" s="123">
        <f>B22/B13</f>
        <v>4.3487394957983205E-2</v>
      </c>
      <c r="C23" s="123">
        <f t="shared" ref="C23:F23" si="3">C22/C13</f>
        <v>0.20846099478752542</v>
      </c>
      <c r="D23" s="123">
        <f t="shared" si="3"/>
        <v>0.26596800834080203</v>
      </c>
      <c r="E23" s="123">
        <f t="shared" si="3"/>
        <v>0.29988566144671652</v>
      </c>
      <c r="F23" s="123">
        <f t="shared" si="3"/>
        <v>0.29904505089893979</v>
      </c>
    </row>
    <row r="24" spans="1:8" ht="8.25" customHeight="1">
      <c r="A24" s="127"/>
      <c r="B24" s="127"/>
      <c r="C24" s="127"/>
      <c r="D24" s="127"/>
      <c r="E24" s="127"/>
      <c r="F24" s="127"/>
    </row>
    <row r="25" spans="1:8">
      <c r="A25" s="119" t="s">
        <v>93</v>
      </c>
      <c r="B25" s="124">
        <f>-Costs!B69</f>
        <v>-600000</v>
      </c>
      <c r="C25" s="124">
        <f>-Costs!C69</f>
        <v>-300000</v>
      </c>
      <c r="D25" s="124">
        <f>-Costs!D69</f>
        <v>-300000</v>
      </c>
      <c r="E25" s="124">
        <f>-Costs!E69</f>
        <v>-350000</v>
      </c>
      <c r="F25" s="124">
        <f>-Costs!F69</f>
        <v>-400000</v>
      </c>
    </row>
    <row r="26" spans="1:8">
      <c r="A26" s="119" t="s">
        <v>94</v>
      </c>
      <c r="B26" s="133">
        <f>-Costs!B70</f>
        <v>-200000</v>
      </c>
      <c r="C26" s="133"/>
      <c r="D26" s="133"/>
      <c r="E26" s="133"/>
      <c r="F26" s="133"/>
    </row>
    <row r="27" spans="1:8">
      <c r="A27" s="119" t="s">
        <v>119</v>
      </c>
      <c r="B27" s="133"/>
      <c r="C27" s="133"/>
      <c r="D27" s="133"/>
      <c r="E27" s="133"/>
      <c r="F27" s="133"/>
    </row>
    <row r="28" spans="1:8">
      <c r="A28" s="120" t="s">
        <v>104</v>
      </c>
      <c r="B28" s="156">
        <f>B22+SUM(B25:B27)</f>
        <v>-740857.14285714284</v>
      </c>
      <c r="C28" s="122">
        <f t="shared" ref="C28:F28" si="4">C22+SUM(C25:C27)</f>
        <v>721458.87445887458</v>
      </c>
      <c r="D28" s="122">
        <f t="shared" si="4"/>
        <v>2112329.8356510745</v>
      </c>
      <c r="E28" s="122">
        <f t="shared" si="4"/>
        <v>4247247.1899781646</v>
      </c>
      <c r="F28" s="122">
        <f t="shared" si="4"/>
        <v>4695727.6673179343</v>
      </c>
      <c r="H28" t="s">
        <v>121</v>
      </c>
    </row>
    <row r="29" spans="1:8">
      <c r="A29" s="121" t="s">
        <v>120</v>
      </c>
      <c r="B29" s="157">
        <f>B28</f>
        <v>-740857.14285714284</v>
      </c>
      <c r="C29" s="157">
        <f>B29+C28</f>
        <v>-19398.268398268265</v>
      </c>
      <c r="D29" s="134">
        <f t="shared" ref="D29:F29" si="5">C29+D28</f>
        <v>2092931.5672528064</v>
      </c>
      <c r="E29" s="134">
        <f t="shared" si="5"/>
        <v>6340178.757230971</v>
      </c>
      <c r="F29" s="134">
        <f t="shared" si="5"/>
        <v>11035906.424548905</v>
      </c>
      <c r="H29" t="s">
        <v>122</v>
      </c>
    </row>
    <row r="31" spans="1:8">
      <c r="A31" t="s">
        <v>124</v>
      </c>
    </row>
    <row r="32" spans="1:8">
      <c r="A32" t="s">
        <v>125</v>
      </c>
    </row>
    <row r="33" spans="1:11">
      <c r="A33" t="s">
        <v>123</v>
      </c>
    </row>
    <row r="34" spans="1:11">
      <c r="A34" t="s">
        <v>126</v>
      </c>
    </row>
    <row r="35" spans="1:11">
      <c r="A35" t="s">
        <v>127</v>
      </c>
    </row>
    <row r="37" spans="1:11">
      <c r="A37" s="161" t="s">
        <v>154</v>
      </c>
      <c r="B37" s="161"/>
      <c r="C37" s="161"/>
      <c r="D37" s="161"/>
      <c r="E37" s="161"/>
      <c r="F37" s="161"/>
      <c r="G37" s="161"/>
      <c r="H37" s="161"/>
      <c r="I37" s="161"/>
      <c r="J37" s="161"/>
      <c r="K37" s="161"/>
    </row>
    <row r="38" spans="1:11">
      <c r="A38" s="162" t="s">
        <v>155</v>
      </c>
      <c r="B38" s="161"/>
      <c r="C38" s="161"/>
      <c r="D38" s="161"/>
      <c r="E38" s="161"/>
      <c r="F38" s="161"/>
      <c r="G38" s="161"/>
      <c r="H38" s="161"/>
      <c r="I38" s="161"/>
      <c r="J38" s="161"/>
      <c r="K38" s="161"/>
    </row>
    <row r="39" spans="1:11">
      <c r="A39" s="162" t="s">
        <v>156</v>
      </c>
      <c r="B39" s="161"/>
      <c r="C39" s="161"/>
      <c r="D39" s="161"/>
      <c r="E39" s="161"/>
      <c r="F39" s="161"/>
      <c r="G39" s="161"/>
      <c r="H39" s="161"/>
      <c r="I39" s="161"/>
      <c r="J39" s="161"/>
      <c r="K39" s="161"/>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Deal Model</vt:lpstr>
      <vt:lpstr>Sales and Revenues</vt:lpstr>
      <vt:lpstr>Costs</vt:lpstr>
      <vt:lpstr>P&amp;L View</vt:lpstr>
      <vt:lpstr>Cash and Financing</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2014-04-29T08:24:53Z</dcterms:modified>
</cp:coreProperties>
</file>